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Лист1!$A$9:$K$144</definedName>
  </definedNames>
  <calcPr calcId="152511" refMode="R1C1"/>
</workbook>
</file>

<file path=xl/calcChain.xml><?xml version="1.0" encoding="utf-8"?>
<calcChain xmlns="http://schemas.openxmlformats.org/spreadsheetml/2006/main">
  <c r="I16" i="1" l="1"/>
  <c r="L181" i="1" l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7" i="1"/>
  <c r="L156" i="1"/>
  <c r="L155" i="1"/>
  <c r="L154" i="1"/>
  <c r="L153" i="1"/>
  <c r="L152" i="1"/>
  <c r="L151" i="1"/>
  <c r="L149" i="1"/>
  <c r="L148" i="1"/>
  <c r="L147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7" i="1"/>
  <c r="K156" i="1"/>
  <c r="K155" i="1"/>
  <c r="K154" i="1"/>
  <c r="K153" i="1"/>
  <c r="K152" i="1"/>
  <c r="K151" i="1"/>
  <c r="K149" i="1"/>
  <c r="K148" i="1"/>
  <c r="K147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7" i="1"/>
  <c r="J156" i="1"/>
  <c r="J155" i="1"/>
  <c r="J154" i="1"/>
  <c r="J153" i="1"/>
  <c r="J152" i="1"/>
  <c r="J151" i="1"/>
  <c r="J149" i="1"/>
  <c r="J148" i="1"/>
  <c r="J147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7" i="1"/>
  <c r="I156" i="1"/>
  <c r="I155" i="1"/>
  <c r="I154" i="1"/>
  <c r="I153" i="1"/>
  <c r="I152" i="1"/>
  <c r="I151" i="1"/>
  <c r="I149" i="1"/>
  <c r="I148" i="1"/>
  <c r="I147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3" i="1"/>
  <c r="I22" i="1"/>
  <c r="I21" i="1"/>
  <c r="I20" i="1"/>
  <c r="I19" i="1"/>
  <c r="I18" i="1"/>
  <c r="I17" i="1"/>
  <c r="I15" i="1"/>
  <c r="I14" i="1"/>
  <c r="I13" i="1"/>
  <c r="I12" i="1"/>
  <c r="I11" i="1"/>
  <c r="H115" i="1"/>
  <c r="F181" i="1"/>
  <c r="H181" i="1" s="1"/>
  <c r="F180" i="1"/>
  <c r="H180" i="1" s="1"/>
  <c r="F179" i="1"/>
  <c r="H179" i="1" s="1"/>
  <c r="F178" i="1"/>
  <c r="H178" i="1" s="1"/>
  <c r="F177" i="1"/>
  <c r="H177" i="1" s="1"/>
  <c r="F176" i="1"/>
  <c r="H176" i="1" s="1"/>
  <c r="F175" i="1"/>
  <c r="H175" i="1" s="1"/>
  <c r="F174" i="1"/>
  <c r="H174" i="1" s="1"/>
  <c r="F173" i="1"/>
  <c r="H173" i="1" s="1"/>
  <c r="F172" i="1"/>
  <c r="H172" i="1" s="1"/>
  <c r="F171" i="1"/>
  <c r="H171" i="1" s="1"/>
  <c r="F170" i="1"/>
  <c r="H170" i="1" s="1"/>
  <c r="F169" i="1"/>
  <c r="H169" i="1" s="1"/>
  <c r="F168" i="1"/>
  <c r="H168" i="1" s="1"/>
  <c r="F167" i="1"/>
  <c r="H167" i="1" s="1"/>
  <c r="F166" i="1"/>
  <c r="H166" i="1" s="1"/>
  <c r="F165" i="1"/>
  <c r="H165" i="1" s="1"/>
  <c r="F164" i="1"/>
  <c r="H164" i="1" s="1"/>
  <c r="F163" i="1"/>
  <c r="H163" i="1" s="1"/>
  <c r="F162" i="1"/>
  <c r="H162" i="1" s="1"/>
  <c r="F161" i="1"/>
  <c r="H161" i="1" s="1"/>
  <c r="F160" i="1"/>
  <c r="H160" i="1" s="1"/>
  <c r="F157" i="1"/>
  <c r="H157" i="1" s="1"/>
  <c r="F156" i="1"/>
  <c r="H156" i="1" s="1"/>
  <c r="F155" i="1"/>
  <c r="H155" i="1" s="1"/>
  <c r="F154" i="1"/>
  <c r="H154" i="1" s="1"/>
  <c r="F153" i="1"/>
  <c r="H153" i="1" s="1"/>
  <c r="F152" i="1"/>
  <c r="H152" i="1" s="1"/>
  <c r="F151" i="1"/>
  <c r="H151" i="1" s="1"/>
  <c r="F149" i="1"/>
  <c r="H149" i="1" s="1"/>
  <c r="F148" i="1"/>
  <c r="H148" i="1" s="1"/>
  <c r="F147" i="1"/>
  <c r="H147" i="1" s="1"/>
  <c r="F144" i="1"/>
  <c r="H144" i="1" s="1"/>
  <c r="F143" i="1"/>
  <c r="H143" i="1" s="1"/>
  <c r="F142" i="1"/>
  <c r="H142" i="1" s="1"/>
  <c r="F141" i="1"/>
  <c r="H141" i="1" s="1"/>
  <c r="F140" i="1"/>
  <c r="H140" i="1" s="1"/>
  <c r="F139" i="1"/>
  <c r="H139" i="1" s="1"/>
  <c r="F138" i="1"/>
  <c r="H138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F130" i="1"/>
  <c r="H130" i="1" s="1"/>
  <c r="F129" i="1"/>
  <c r="H129" i="1" s="1"/>
  <c r="F128" i="1"/>
  <c r="H128" i="1" s="1"/>
  <c r="F127" i="1"/>
  <c r="H127" i="1" s="1"/>
  <c r="F126" i="1"/>
  <c r="H126" i="1" s="1"/>
  <c r="F125" i="1"/>
  <c r="H125" i="1" s="1"/>
  <c r="F124" i="1"/>
  <c r="H124" i="1" s="1"/>
  <c r="F123" i="1"/>
  <c r="H123" i="1" s="1"/>
  <c r="F122" i="1"/>
  <c r="H122" i="1" s="1"/>
  <c r="F121" i="1"/>
  <c r="H121" i="1" s="1"/>
  <c r="F120" i="1"/>
  <c r="H120" i="1" s="1"/>
  <c r="F119" i="1"/>
  <c r="H119" i="1" s="1"/>
  <c r="F117" i="1"/>
  <c r="H117" i="1" s="1"/>
  <c r="F116" i="1"/>
  <c r="H116" i="1" s="1"/>
  <c r="F115" i="1"/>
  <c r="F114" i="1"/>
  <c r="H114" i="1" s="1"/>
  <c r="F113" i="1"/>
  <c r="H113" i="1" s="1"/>
  <c r="F112" i="1"/>
  <c r="H112" i="1" s="1"/>
  <c r="F111" i="1"/>
  <c r="H111" i="1" s="1"/>
  <c r="F110" i="1"/>
  <c r="H110" i="1" s="1"/>
  <c r="F109" i="1"/>
  <c r="H109" i="1" s="1"/>
  <c r="F108" i="1"/>
  <c r="H108" i="1" s="1"/>
  <c r="F107" i="1"/>
  <c r="H107" i="1" s="1"/>
  <c r="F106" i="1"/>
  <c r="H106" i="1" s="1"/>
  <c r="F105" i="1"/>
  <c r="H105" i="1" s="1"/>
  <c r="F104" i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E181" i="1" l="1"/>
  <c r="G181" i="1" s="1"/>
  <c r="E180" i="1"/>
  <c r="G180" i="1" s="1"/>
  <c r="E179" i="1"/>
  <c r="G179" i="1" s="1"/>
  <c r="E178" i="1"/>
  <c r="G178" i="1" s="1"/>
  <c r="E177" i="1"/>
  <c r="G177" i="1" s="1"/>
  <c r="E176" i="1"/>
  <c r="G176" i="1" s="1"/>
  <c r="E175" i="1"/>
  <c r="G175" i="1" s="1"/>
  <c r="E174" i="1"/>
  <c r="G174" i="1" s="1"/>
  <c r="E173" i="1"/>
  <c r="G173" i="1" s="1"/>
  <c r="E172" i="1"/>
  <c r="G172" i="1" s="1"/>
  <c r="E171" i="1"/>
  <c r="G171" i="1" s="1"/>
  <c r="E170" i="1"/>
  <c r="G170" i="1" s="1"/>
  <c r="E169" i="1"/>
  <c r="G169" i="1" s="1"/>
  <c r="E168" i="1"/>
  <c r="G168" i="1" s="1"/>
  <c r="E167" i="1"/>
  <c r="G167" i="1" s="1"/>
  <c r="E166" i="1"/>
  <c r="G166" i="1" s="1"/>
  <c r="E165" i="1"/>
  <c r="G165" i="1" s="1"/>
  <c r="E164" i="1"/>
  <c r="G164" i="1" s="1"/>
  <c r="E163" i="1"/>
  <c r="G163" i="1" s="1"/>
  <c r="E162" i="1"/>
  <c r="G162" i="1" s="1"/>
  <c r="E161" i="1"/>
  <c r="G161" i="1" s="1"/>
  <c r="E160" i="1"/>
  <c r="G160" i="1" s="1"/>
  <c r="E157" i="1"/>
  <c r="G157" i="1" s="1"/>
  <c r="E156" i="1"/>
  <c r="G156" i="1" s="1"/>
  <c r="E155" i="1"/>
  <c r="G155" i="1" s="1"/>
  <c r="E154" i="1"/>
  <c r="G154" i="1" s="1"/>
  <c r="E153" i="1"/>
  <c r="G153" i="1" s="1"/>
  <c r="E152" i="1"/>
  <c r="G152" i="1" s="1"/>
  <c r="E151" i="1"/>
  <c r="G151" i="1" s="1"/>
  <c r="E149" i="1"/>
  <c r="G149" i="1" s="1"/>
  <c r="E148" i="1"/>
  <c r="G148" i="1" s="1"/>
  <c r="E147" i="1"/>
  <c r="G147" i="1" s="1"/>
  <c r="E144" i="1"/>
  <c r="G144" i="1" s="1"/>
  <c r="E143" i="1"/>
  <c r="G143" i="1" s="1"/>
  <c r="E142" i="1"/>
  <c r="G142" i="1" s="1"/>
  <c r="E141" i="1"/>
  <c r="G141" i="1" s="1"/>
  <c r="E140" i="1"/>
  <c r="G140" i="1" s="1"/>
  <c r="E139" i="1"/>
  <c r="G139" i="1" s="1"/>
  <c r="E138" i="1"/>
  <c r="G138" i="1" s="1"/>
  <c r="E137" i="1"/>
  <c r="G137" i="1" s="1"/>
  <c r="E136" i="1"/>
  <c r="G136" i="1" s="1"/>
  <c r="E135" i="1"/>
  <c r="G135" i="1" s="1"/>
  <c r="E134" i="1"/>
  <c r="G134" i="1" s="1"/>
  <c r="E133" i="1"/>
  <c r="G133" i="1" s="1"/>
  <c r="E132" i="1"/>
  <c r="G132" i="1" s="1"/>
  <c r="E131" i="1"/>
  <c r="G131" i="1" s="1"/>
  <c r="E130" i="1"/>
  <c r="G130" i="1" s="1"/>
  <c r="E129" i="1"/>
  <c r="G129" i="1" s="1"/>
  <c r="E128" i="1"/>
  <c r="G128" i="1" s="1"/>
  <c r="E127" i="1"/>
  <c r="G127" i="1" s="1"/>
  <c r="E126" i="1"/>
  <c r="G126" i="1" s="1"/>
  <c r="E125" i="1"/>
  <c r="G125" i="1" s="1"/>
  <c r="E124" i="1"/>
  <c r="G124" i="1" s="1"/>
  <c r="E123" i="1"/>
  <c r="G123" i="1" s="1"/>
  <c r="E122" i="1"/>
  <c r="G122" i="1" s="1"/>
  <c r="E121" i="1"/>
  <c r="G121" i="1" s="1"/>
  <c r="E120" i="1"/>
  <c r="G120" i="1" s="1"/>
  <c r="E119" i="1" l="1"/>
  <c r="G119" i="1" s="1"/>
  <c r="E117" i="1"/>
  <c r="G117" i="1" s="1"/>
  <c r="E116" i="1"/>
  <c r="G116" i="1" s="1"/>
  <c r="E115" i="1"/>
  <c r="G115" i="1" s="1"/>
  <c r="E114" i="1"/>
  <c r="G114" i="1" s="1"/>
  <c r="E113" i="1"/>
  <c r="G113" i="1" s="1"/>
  <c r="E112" i="1"/>
  <c r="G112" i="1" s="1"/>
  <c r="E111" i="1"/>
  <c r="G111" i="1" s="1"/>
  <c r="E110" i="1"/>
  <c r="G110" i="1" s="1"/>
  <c r="E109" i="1"/>
  <c r="G109" i="1" s="1"/>
  <c r="E108" i="1"/>
  <c r="G108" i="1" s="1"/>
  <c r="E107" i="1"/>
  <c r="G107" i="1" s="1"/>
  <c r="E106" i="1"/>
  <c r="G106" i="1" s="1"/>
  <c r="E105" i="1"/>
  <c r="G105" i="1" s="1"/>
  <c r="E104" i="1"/>
  <c r="G104" i="1" s="1"/>
  <c r="E103" i="1"/>
  <c r="G103" i="1" s="1"/>
  <c r="E102" i="1"/>
  <c r="G102" i="1" s="1"/>
  <c r="E101" i="1"/>
  <c r="G101" i="1" s="1"/>
  <c r="E100" i="1"/>
  <c r="G100" i="1" s="1"/>
  <c r="E99" i="1"/>
  <c r="G99" i="1" s="1"/>
  <c r="E98" i="1"/>
  <c r="G98" i="1" s="1"/>
  <c r="E97" i="1"/>
  <c r="G97" i="1" s="1"/>
  <c r="E96" i="1"/>
  <c r="G96" i="1" s="1"/>
  <c r="E95" i="1"/>
  <c r="G95" i="1" s="1"/>
  <c r="E93" i="1"/>
  <c r="G93" i="1" s="1"/>
  <c r="E92" i="1"/>
  <c r="G92" i="1" s="1"/>
  <c r="E91" i="1"/>
  <c r="G91" i="1" s="1"/>
  <c r="E90" i="1"/>
  <c r="G90" i="1" s="1"/>
  <c r="E89" i="1"/>
  <c r="G89" i="1" s="1"/>
  <c r="E88" i="1"/>
  <c r="G88" i="1" s="1"/>
  <c r="E87" i="1"/>
  <c r="G87" i="1" s="1"/>
  <c r="E86" i="1"/>
  <c r="G86" i="1" s="1"/>
  <c r="E85" i="1"/>
  <c r="G85" i="1" s="1"/>
  <c r="E84" i="1"/>
  <c r="G84" i="1" s="1"/>
  <c r="E83" i="1"/>
  <c r="G83" i="1" s="1"/>
  <c r="E82" i="1"/>
  <c r="G82" i="1" s="1"/>
  <c r="E81" i="1"/>
  <c r="G81" i="1" s="1"/>
  <c r="E80" i="1"/>
  <c r="G80" i="1" s="1"/>
  <c r="E79" i="1"/>
  <c r="G79" i="1" s="1"/>
  <c r="E78" i="1"/>
  <c r="G78" i="1" s="1"/>
  <c r="E77" i="1"/>
  <c r="G77" i="1" s="1"/>
  <c r="E76" i="1"/>
  <c r="G76" i="1" s="1"/>
  <c r="E75" i="1"/>
  <c r="G75" i="1" s="1"/>
  <c r="E74" i="1"/>
  <c r="G74" i="1" s="1"/>
  <c r="E73" i="1"/>
  <c r="G73" i="1" s="1"/>
  <c r="E72" i="1"/>
  <c r="G72" i="1" s="1"/>
  <c r="E71" i="1"/>
  <c r="G71" i="1" s="1"/>
  <c r="E70" i="1"/>
  <c r="G70" i="1" s="1"/>
  <c r="E69" i="1"/>
  <c r="G69" i="1" s="1"/>
  <c r="E68" i="1"/>
  <c r="G68" i="1" s="1"/>
  <c r="E67" i="1"/>
  <c r="G67" i="1" s="1"/>
  <c r="E66" i="1"/>
  <c r="G66" i="1" s="1"/>
  <c r="E65" i="1"/>
  <c r="G65" i="1" s="1"/>
  <c r="E64" i="1"/>
  <c r="G64" i="1" s="1"/>
  <c r="E63" i="1"/>
  <c r="G63" i="1" s="1"/>
  <c r="E62" i="1"/>
  <c r="G62" i="1" s="1"/>
  <c r="E60" i="1"/>
  <c r="G60" i="1" s="1"/>
  <c r="E59" i="1"/>
  <c r="G59" i="1" s="1"/>
  <c r="E58" i="1"/>
  <c r="G58" i="1" s="1"/>
  <c r="E57" i="1"/>
  <c r="G57" i="1" s="1"/>
  <c r="E56" i="1"/>
  <c r="G56" i="1" s="1"/>
  <c r="E55" i="1"/>
  <c r="G55" i="1" s="1"/>
  <c r="E54" i="1"/>
  <c r="G54" i="1" s="1"/>
  <c r="E53" i="1"/>
  <c r="G53" i="1" s="1"/>
  <c r="E52" i="1"/>
  <c r="G52" i="1" s="1"/>
  <c r="E51" i="1"/>
  <c r="G51" i="1" s="1"/>
  <c r="E50" i="1"/>
  <c r="G50" i="1" s="1"/>
  <c r="E49" i="1"/>
  <c r="G49" i="1" s="1"/>
  <c r="E48" i="1"/>
  <c r="G48" i="1" s="1"/>
  <c r="E47" i="1"/>
  <c r="G47" i="1" s="1"/>
  <c r="E46" i="1"/>
  <c r="G46" i="1" s="1"/>
  <c r="E45" i="1"/>
  <c r="G45" i="1" s="1"/>
  <c r="E44" i="1"/>
  <c r="G44" i="1" s="1"/>
  <c r="E43" i="1"/>
  <c r="G43" i="1" s="1"/>
  <c r="E42" i="1"/>
  <c r="G42" i="1" s="1"/>
  <c r="E41" i="1"/>
  <c r="G41" i="1" s="1"/>
  <c r="E40" i="1"/>
  <c r="G40" i="1" s="1"/>
  <c r="E39" i="1"/>
  <c r="G39" i="1" s="1"/>
  <c r="E38" i="1"/>
  <c r="G38" i="1" s="1"/>
  <c r="E37" i="1"/>
  <c r="G37" i="1" s="1"/>
  <c r="E36" i="1"/>
  <c r="G36" i="1" s="1"/>
  <c r="E35" i="1"/>
  <c r="G35" i="1" s="1"/>
  <c r="E34" i="1"/>
  <c r="G34" i="1" s="1"/>
  <c r="E33" i="1"/>
  <c r="G33" i="1" s="1"/>
  <c r="E32" i="1"/>
  <c r="G32" i="1" s="1"/>
  <c r="E31" i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E17" i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E11" i="1" l="1"/>
  <c r="G11" i="1" s="1"/>
</calcChain>
</file>

<file path=xl/sharedStrings.xml><?xml version="1.0" encoding="utf-8"?>
<sst xmlns="http://schemas.openxmlformats.org/spreadsheetml/2006/main" count="273" uniqueCount="190">
  <si>
    <t>Общеобразовательная подготовка для профессий и специальностей СПО</t>
  </si>
  <si>
    <t>Английский язык / Безкоровайная Г.Т.</t>
  </si>
  <si>
    <t>География / Баранчиков Е.В.</t>
  </si>
  <si>
    <t>Информатика и ИКТ / Цветкова М.С.</t>
  </si>
  <si>
    <t>История: В 2 ч. / Артемов В.В.</t>
  </si>
  <si>
    <t>Литература: В 2 ч. / Обернихина Г.А.</t>
  </si>
  <si>
    <t>Математика: алгебра и начала математического анализа. Геометрия / Башмаков М.И.</t>
  </si>
  <si>
    <t xml:space="preserve"> Обществознание для профессий и специальностей технического, естественно-научного, гуманитарного профилей / Важенин А.Г.</t>
  </si>
  <si>
    <t>Право для профессий и специальностей социально-экономического профиля / Певцова Е.А.</t>
  </si>
  <si>
    <t>Русский язык / Антонова Е.С.</t>
  </si>
  <si>
    <t>Физика для профессий и специальностей технического профиля / Дмитриева В.Ф.</t>
  </si>
  <si>
    <t>Химия для профессий и специальностей технического и естественно-научного профилей / Ерохин Ю.М.</t>
  </si>
  <si>
    <t>Экология / Скворцова Я.В.</t>
  </si>
  <si>
    <t>Экономика для профессий и специальностей социально-экономического профиля / Гомола А.И.</t>
  </si>
  <si>
    <t>Общепрофессиональные дисциплины для специальностей СПО</t>
  </si>
  <si>
    <t>ТОП-50</t>
  </si>
  <si>
    <t>Архитектура аппаратных средств / Сенкевич А.В.</t>
  </si>
  <si>
    <t>Безопасность жизнедеятельности (специальности) / Сапронов Ю.Г.</t>
  </si>
  <si>
    <t>Документационное обеспечение управления / Пшенко А.В.</t>
  </si>
  <si>
    <t>Инженерная графика / Муравьев С.Н.</t>
  </si>
  <si>
    <t>Информационные технологии в профессиональной деятельности / Михеева Е.В.</t>
  </si>
  <si>
    <t>Допуски и технические измерения / Зайцев С.А.</t>
  </si>
  <si>
    <t>Материаловедение / Черепахин А.А.</t>
  </si>
  <si>
    <t>Материаловедение / Вологжанина С.А.</t>
  </si>
  <si>
    <t>Материаловедение для парикмахеров / Безбородова Е.И.</t>
  </si>
  <si>
    <t>Метрология, стандартизация и сертификация на транспорте / Иванов И.А.</t>
  </si>
  <si>
    <t>Метрология, стандартизация и сертификация в машиностроении / Зайцев С.А.</t>
  </si>
  <si>
    <t>Менеджмент / Драчева Е.Л.</t>
  </si>
  <si>
    <t>Микробиология, физиология питания, санитария и гигиена: в 2 ч. / Королев А.А.</t>
  </si>
  <si>
    <t>Операционные системы и среды / Батаев А.В.</t>
  </si>
  <si>
    <t>Организация социальной работы в Российской Федерации / Гуслова М.Н.</t>
  </si>
  <si>
    <t>Основы алгоритмизации и программирования / Семакин И.Г.</t>
  </si>
  <si>
    <t>Основы анатомии и физиологии кожи и волос / Соколова Е.А.</t>
  </si>
  <si>
    <t>Основы безопасности жизнедеятельности / Косолапова Н.В.</t>
  </si>
  <si>
    <t>Основы проектирования баз данных / ФедороваГ.Н.</t>
  </si>
  <si>
    <t>Основы электроники / Берикашвили В.Ш.</t>
  </si>
  <si>
    <t>Охрана труда в организациях питания / Калинина В.М.</t>
  </si>
  <si>
    <t>Правовое обеспечение профессиональной деятельности / Федорянич О.И.</t>
  </si>
  <si>
    <t>Правовое обеспечение профессиональной деятельности / Румынина В.В.</t>
  </si>
  <si>
    <t>Психология общения / Панфилова А.П.</t>
  </si>
  <si>
    <t>Психология общения / Шеламова Г.М.</t>
  </si>
  <si>
    <t>Санитария и гигиена для парикмахеров / Щербакова Л.П.</t>
  </si>
  <si>
    <t>Техническая механика для строительных специальностей / Сетков В.И.</t>
  </si>
  <si>
    <t>Техническая механика / Вереина Л.И.</t>
  </si>
  <si>
    <t>Техническое оснащение организаций питания / Лутошкина Г.Г.</t>
  </si>
  <si>
    <t>Экологические основы природопользования / Манько О.М.</t>
  </si>
  <si>
    <t>Электротехника и электроника / Немцов М.В.</t>
  </si>
  <si>
    <t>Элементы гидравлических и пневматических систем / Ермолаев В.В.</t>
  </si>
  <si>
    <t>Основы автоматического управления / Бычков А.В.</t>
  </si>
  <si>
    <t>Теория электрических цепей / Ушаков П.А.</t>
  </si>
  <si>
    <t>Охрана труда в машиностроении / Минько В.М.</t>
  </si>
  <si>
    <t>Компьютерные сети / Пылькин А.Н., Баринов В.В., Баринов И.В., Пролетарский А.В.</t>
  </si>
  <si>
    <t>Профессиональные модули для специальностей СПО</t>
  </si>
  <si>
    <t>Детская литература / Путилова Е.О.</t>
  </si>
  <si>
    <t>Документирование хозяйственных операций и ведение бухгалтерского учета имущества организации / Брыкова Н.В.</t>
  </si>
  <si>
    <t>Моделирование причесок различного назначения с учетом актуальных тенденций моды / Королева С.И.</t>
  </si>
  <si>
    <t>Организация и выполнение мероприятий по обеспечению безопасности на транспорте / Гуреева М.А.</t>
  </si>
  <si>
    <t>Организация секретарского обслуживания / Галахов В.В.</t>
  </si>
  <si>
    <t>Организация и контроль текущей деятельности работников службы приема и размещения / Ёхина М.А.</t>
  </si>
  <si>
    <t>Организация и ведение процессов приготовления, оформления и подготовки к реализации горячих блюд, кулинарных изделий, закусок сложного ассортимента с учетом потребностей различных категорий потребителей, видов и форм обслуживания / Андонова Н.И.</t>
  </si>
  <si>
    <t>Организация и ведение процессов приготовления и подготовки к реализации полуфабрикатов для блюд, кулинарных изделий сложного ассортимента / Самородова И.П.</t>
  </si>
  <si>
    <t>Организация и ведение процессов приготовления,оформления и подготовки к реализации хлебобулочных, мучных кондитерских изделий сложного ассортимента с учетом потребностей различных категорий потребителей, видов и форм обслуживания / Бурчакова И.Ю.</t>
  </si>
  <si>
    <t>Осуществление интеграции программных модулей / Федорова Г.Н.</t>
  </si>
  <si>
    <t>Практикум по художественной обработке материалов и изобразительному искусству / Погодина С.В.</t>
  </si>
  <si>
    <t>Производство оптических деталей и узлов / Горелик Б.Д.</t>
  </si>
  <si>
    <t>Производство оптических деталей средней точности / Горелик Б.Д.</t>
  </si>
  <si>
    <t>Разработка и администрирование баз данных / Федорова Г.Н.</t>
  </si>
  <si>
    <t>Разработка, администрирование и защита баз данных / ФедороваГ.Н.</t>
  </si>
  <si>
    <t>Ремонт автомобильных двигателей / Карагодин В.И.</t>
  </si>
  <si>
    <t>Теоретические и методические основы организации продуктивных видов деятельности детей дошкольного возраста / Погодина С.В.</t>
  </si>
  <si>
    <t>Теоретические и методические основы физического воспитания и развития детей раннего и дошкольного возраста / Филиппова С.О.</t>
  </si>
  <si>
    <t>Теоретические основы начального курса математики / Стойлова Л.П.</t>
  </si>
  <si>
    <t>Техническое обслуживание автомобильных двигателей / Власов В.М.</t>
  </si>
  <si>
    <t>Технологии и технологическое оснащение производства летательных аппаратов / Овчинников В.В.</t>
  </si>
  <si>
    <t>Технологическое оборудование и оснастка при производстве летательных аппаратов / Овчинников В.В.</t>
  </si>
  <si>
    <t>Технология выполнения окрашивания волос и химической (перманентной) завивки / Шаменкова Т.Ю.</t>
  </si>
  <si>
    <t>Технология выполнения стрижек и укладок / Масленникова Л.В.</t>
  </si>
  <si>
    <t>Транспортно-экспедиционная деятельность на транспорте / Гуреева М.А.</t>
  </si>
  <si>
    <t>Устройство автомобилей и двигателей / Пехальский А.П.</t>
  </si>
  <si>
    <t>Хранение, передача и публикация цифровой информации (1-е изд.) / Курилова А.В.</t>
  </si>
  <si>
    <t>Организация и ведение процессов приготовления, оформления и подготовки к реализации холодных блюд, кулинарных изделий, закусок сложного ассортимента с учетом потребностей различных категорий потребителей, видов и форм обслуживания / Качурина Т.А.</t>
  </si>
  <si>
    <t>Проектирование и разработка информационных систем / Перлова О.Н.</t>
  </si>
  <si>
    <t>Разработка модулей программного обеспечения для компьютерных систем / Фёдорова Г.Н.</t>
  </si>
  <si>
    <t>Обеспечение информационной безопасности инфокоммуникационных сетей и систем связи / Новикова Е.Л.</t>
  </si>
  <si>
    <t>Соадминистрирование баз данных и серверов / Перлова О.Н., Ляпина О.П.</t>
  </si>
  <si>
    <t xml:space="preserve">Общепрофессиональные дисциплины для профессий СПО </t>
  </si>
  <si>
    <t>Безопасность жизнедеятельности (профессии) / Косолапова Н.В.</t>
  </si>
  <si>
    <t>Информационные технологии в профессиональной деятельности (профессии) / Курилова А.В.</t>
  </si>
  <si>
    <t>Основы бухгалтерского учета на предприятиях торговли / Брыкова Н.В.</t>
  </si>
  <si>
    <t>Основы деловой культуры / Шеламова Г.М.</t>
  </si>
  <si>
    <t>Основы информационных технологий / Остроух А.В.</t>
  </si>
  <si>
    <t>Основы культуры профессионального общения / Шеламова Г.М.</t>
  </si>
  <si>
    <t>Основы материаловедения для сварщиков / Овчинников В.В.</t>
  </si>
  <si>
    <t>Основы материаловедения (металлообработка) / Заплатин В.Н.</t>
  </si>
  <si>
    <t>Основы микробиологии, физиологии питания, санитарии и гигиены / Лаушкина Т.А.</t>
  </si>
  <si>
    <t>Основы слесарного дела / Покровский Б.С.</t>
  </si>
  <si>
    <t>Основы технологии отделочных строительных работ / Петрова И.В.</t>
  </si>
  <si>
    <t>Основы строительного черчения / Гусарова Е.А.</t>
  </si>
  <si>
    <t>Основы электроматериаловедения / Журавлева Л.В.</t>
  </si>
  <si>
    <t>Основы этики и психологии профессиональной деятельности / Шеламова Г.М.</t>
  </si>
  <si>
    <t>Охрана труда на предприятиях автотранспорта / Секирников В.Е.</t>
  </si>
  <si>
    <t>Санитария и гигиена на предприятиях торговли / Леонова И.Б.</t>
  </si>
  <si>
    <t>Технические измерения / Зайцев С.А.</t>
  </si>
  <si>
    <t>Техническое черчение / Павлова А.А.</t>
  </si>
  <si>
    <t>Электротехника для неэлектротехнических профессий / Прошин В.М.</t>
  </si>
  <si>
    <t>Электротехника / Ярочкина Г.В.</t>
  </si>
  <si>
    <t>Техническая графика (металлообработка) / Фазлулин Э.М., Халдинов В.А., Яковук О.А.</t>
  </si>
  <si>
    <t>Основы экономики машиностроения / Гуреева М.А</t>
  </si>
  <si>
    <t>Профессиональные модули для профессий СПО</t>
  </si>
  <si>
    <t>Ввод и обработка цифровой информации / Остроух А.В.</t>
  </si>
  <si>
    <t>Выполнение бетонных работ / Алимов Л.А.</t>
  </si>
  <si>
    <t>Выполнение облицовочных работ плитками и плитами / Черноус Г.Г.</t>
  </si>
  <si>
    <t>Выполнение плотничных работ / Степанов Б.А.</t>
  </si>
  <si>
    <t>Выполнение столярных работ / Степанов Б.А.</t>
  </si>
  <si>
    <t>Выполнение штукатурных и декоративных работ / Черноус Г.Г.</t>
  </si>
  <si>
    <t>Газовая сварка (наплавка) / Овчинников В.В.</t>
  </si>
  <si>
    <t>Основы технологии сварки и сварочное оборудование / Овчинников В.В.</t>
  </si>
  <si>
    <t>Подготовительно-сварочные работы / Овчинников В.В.</t>
  </si>
  <si>
    <t>Приготовление блюд из мяса и домашней птицы / Самородова И.П.</t>
  </si>
  <si>
    <t>Приготовление блюд из овощей и грибов / Соколова Е.И.</t>
  </si>
  <si>
    <t>Приготовление блюд из рыбы / Качурина Т.А.</t>
  </si>
  <si>
    <t>Приготовление супов и соусов / Дубровская Н.И.</t>
  </si>
  <si>
    <t>Приготовление, оформление и подготовка к реализации холодных и горячих сладких блюд, десертов, напитков разнообразного ассортимента / Синицына А.В.</t>
  </si>
  <si>
    <t>Приготовление, оформление и подготовка к реализации хлебобулочных, мучных кондитерских изделий разнообразного ассортимента / Ермилова С.В.</t>
  </si>
  <si>
    <t>Приготовление, оформление и подготовка к реализации холодных блюд, кулинарных изделий, закусок разнообразного ассортимента / Семичева Г.П.</t>
  </si>
  <si>
    <t>Работа на контрольно-кассовой технике и расчеты с покупателями / Морозова М.А.</t>
  </si>
  <si>
    <t>Ручная дуговая сварка (наплавка, резка) плавящимся покрытым электродом / Овчинников В.В.</t>
  </si>
  <si>
    <t>Сварка и резка деталей из различных сталей, цветных металлов и их сплавов, чугунов во всех пространственных положениях / Овчинников В.В.</t>
  </si>
  <si>
    <t>Техническое обслуживание и ремонт автомобилей / Кузнецов А.С.</t>
  </si>
  <si>
    <t>Техническое обслуживание автомобилей / Полихов М.В.</t>
  </si>
  <si>
    <t>Технология малярных работ / Прекрасная Е.П.</t>
  </si>
  <si>
    <t>Технология штукатурных работ / Черноус Г.Г.</t>
  </si>
  <si>
    <t>Устройство автомобилей / Гладов Г.И.</t>
  </si>
  <si>
    <t>Технология производства сварных конструкций / Овчинников В.В.</t>
  </si>
  <si>
    <t>Подготовительные и сборочные операции перед сваркой / Овчинников В.В.</t>
  </si>
  <si>
    <t>Виртуальные практикумы на русском языке по профессиям</t>
  </si>
  <si>
    <t>Виртуальный практикум: Автомеханик</t>
  </si>
  <si>
    <t>Виртуальный практикум: Парикмахер</t>
  </si>
  <si>
    <t>Виртуальный практикум: Повар-кондитер</t>
  </si>
  <si>
    <t>Виртуальные практикумы на английском языке по профессиям</t>
  </si>
  <si>
    <t>Деловое администрирование
Business Administration</t>
  </si>
  <si>
    <t>Парикмахерское искусство
 Hairdressing</t>
  </si>
  <si>
    <t>Производство и приготовление пищи (гостиничный и ресторанный бизнес)
 Food Production and Cooking
(Hospitality and Catering)</t>
  </si>
  <si>
    <t>Производство пищевых продуктов, включая напитки
 Food and Beverage Service
(Hospitality and Catering)</t>
  </si>
  <si>
    <t>Работа с клиентами
Customer Service</t>
  </si>
  <si>
    <t>Ремонт и обслуживание легковых автомобилей
 Light Vehicle Maintenance and Repair</t>
  </si>
  <si>
    <t>Cоциальная работа
 Health and Social Care</t>
  </si>
  <si>
    <t>*Комплекты программно-учебных модулей по дисциплинам и компетенциям WorldSkills на русском и английском языках</t>
  </si>
  <si>
    <t>Комплект программно-учебных модулей по компетенции "Графический дизайн"</t>
  </si>
  <si>
    <t>Комплект программно-учебных модулей по компетенции "Инженерный дизайн CAD"</t>
  </si>
  <si>
    <t>Комплект программно-учебных модулей по компетенции "Информационные кабельные сети"</t>
  </si>
  <si>
    <t>Комплект программно-учебных модулей по компетенции "Камнетес"</t>
  </si>
  <si>
    <t>Комплект программно-учебных модулей по компетенции "Кирпичная кладка"</t>
  </si>
  <si>
    <t>Комплект программно-учебных модулей по компетенции "Ландшафтный дизайн"</t>
  </si>
  <si>
    <t>Комплект программно-учебных модулей по компетенции "Малярные и декоративные работы"</t>
  </si>
  <si>
    <t>Комплект программно-учебных модулей по компетенции "Мехатроника"</t>
  </si>
  <si>
    <t>Комплект программно-учебных модулей по компетенции "Облицовка плиткой"</t>
  </si>
  <si>
    <t>Комплект программно-учебных модулей по компетенции "Парикмахерское искусство"</t>
  </si>
  <si>
    <t>Комплект программно-учебных модулей по компетенции "Плотницкое дело"</t>
  </si>
  <si>
    <t>Комплект программно-учебных модулей по компетенции "Сантехника и отопление"</t>
  </si>
  <si>
    <t>Комплект программно-учебных модулей по компетенции "Столярное дело"</t>
  </si>
  <si>
    <t>Комплект программно-учебных модулей по компетенции "Сухое строительство и штукатурные работы"</t>
  </si>
  <si>
    <t>Комплект программно-учебных модулей по компетенции "Токарные работы на станках с ЧПУ"</t>
  </si>
  <si>
    <t>Комплект программно-учебных модулей по компетенции "Электромонтаж"</t>
  </si>
  <si>
    <t>Комплект программно-учебных модулей по компетенциям "Веб-разработка"</t>
  </si>
  <si>
    <t>Комплект программно-учебных модулей по компетенциям "Поварское дело", "Кондитерское дело", "Хлебопечение"</t>
  </si>
  <si>
    <t>Комплект программно-учебных модулей по компетенциям "Ремонт и обслуживание легковых автомобилей"</t>
  </si>
  <si>
    <t>Комплект программно-учебных модулей по компетенциям "Сварочные технологии"</t>
  </si>
  <si>
    <t>Комплект программно-учебных модулей по компетенциям "Сетевое и системное администрирование"</t>
  </si>
  <si>
    <t>Комплект программно-учебных модулей по компетенциям "Эксплуатация сельскохозяйственных машин"</t>
  </si>
  <si>
    <t xml:space="preserve">                                      ТОО "Образовательно-Издательский центр "Академия-Медиа"       </t>
  </si>
  <si>
    <t xml:space="preserve">БИН 130740011998, РНН 600400661517, ДБ АО «Сбербанк», БИК SABRKZKA, ИИК KZ31914398914BC36302                                                                                                      </t>
  </si>
  <si>
    <r>
      <rPr>
        <b/>
        <sz val="11"/>
        <color rgb="FFFF0000"/>
        <rFont val="Arial"/>
        <family val="2"/>
        <charset val="204"/>
      </rPr>
      <t>2.</t>
    </r>
    <r>
      <rPr>
        <b/>
        <sz val="11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>Стоимость доставки расчитывается после получения нами от Вас заявки.</t>
    </r>
  </si>
  <si>
    <t xml:space="preserve"> Телефоны: 8 (727) 250 03 16, 8 (727) 266 91 86, +7 771 120-00-90 (91,92,94)</t>
  </si>
  <si>
    <r>
      <rPr>
        <b/>
        <sz val="11"/>
        <color rgb="FFFF0000"/>
        <rFont val="Arial"/>
        <family val="2"/>
        <charset val="204"/>
      </rPr>
      <t>3.</t>
    </r>
    <r>
      <rPr>
        <sz val="11"/>
        <rFont val="Arial"/>
        <family val="2"/>
        <charset val="204"/>
      </rPr>
      <t xml:space="preserve"> Выставленный нами счет на оплату будет включать в себя стоимость траспортных расходов.</t>
    </r>
  </si>
  <si>
    <t xml:space="preserve">  Действует с 01.03. до 31.03.2019 г.</t>
  </si>
  <si>
    <t>Прайс-лист на систему электронного обучения</t>
  </si>
  <si>
    <r>
      <rPr>
        <b/>
        <sz val="11"/>
        <color rgb="FFFF0000"/>
        <rFont val="Arial"/>
        <family val="2"/>
        <charset val="204"/>
      </rPr>
      <t xml:space="preserve">ВАЖНО!!!                                                                                                                                                                                                      1. </t>
    </r>
    <r>
      <rPr>
        <sz val="11"/>
        <rFont val="Arial"/>
        <family val="2"/>
        <charset val="204"/>
      </rPr>
      <t xml:space="preserve">Цены в прайс-листе указаны с учетом НДС и без стоимости доставки.                </t>
    </r>
  </si>
  <si>
    <r>
      <t xml:space="preserve">Юридический и фактический адрес:
 </t>
    </r>
    <r>
      <rPr>
        <sz val="11"/>
        <rFont val="Arial"/>
        <family val="2"/>
        <charset val="204"/>
      </rPr>
      <t xml:space="preserve">050009 Казахстан, г. Алматы, Алмалинский район, ул. Шевченко, 165Б, офис 909, 9 этаж
          </t>
    </r>
  </si>
  <si>
    <t>Код</t>
  </si>
  <si>
    <t>Название</t>
  </si>
  <si>
    <t>СЭО 3.0</t>
  </si>
  <si>
    <t>СЭО 3.5</t>
  </si>
  <si>
    <t>СЭО 3.5 (расширенная лицензия)</t>
  </si>
  <si>
    <t>Кол-во</t>
  </si>
  <si>
    <t>1 доступ на 3 года (KZT) без НДС</t>
  </si>
  <si>
    <t>1 доступ на 5 лет (KZT) без НДС</t>
  </si>
  <si>
    <t>многопользовательская лицензия на 3 года (KZT) без НДС</t>
  </si>
  <si>
    <t>многопользовательская лицензия на 5 лет (KZT) без НДС</t>
  </si>
  <si>
    <t>многопользовательская лицензия на 5 лет(KZT)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</si>
</sst>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3" xfId="0" applyFill="1" applyBorder="1" applyAlignment="1">
      <alignment horizontal="left" vertical="center" wrapText="1"/>
    </xf>
    <xf numFmtId="3" fontId="0" fillId="0" borderId="3" xfId="0" applyNumberForma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2" borderId="3" xfId="0" applyFill="1" applyBorder="1" applyAlignment="1">
      <alignment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vertical="center" wrapText="1"/>
    </xf>
    <xf numFmtId="0" fontId="0" fillId="2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1</xdr:row>
      <xdr:rowOff>66675</xdr:rowOff>
    </xdr:from>
    <xdr:to>
      <xdr:col>11</xdr:col>
      <xdr:colOff>161925</xdr:colOff>
      <xdr:row>1</xdr:row>
      <xdr:rowOff>634278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257175"/>
          <a:ext cx="1152525" cy="567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1"/>
  <sheetViews>
    <sheetView tabSelected="1" topLeftCell="A4" workbookViewId="0">
      <selection activeCell="J10" sqref="J10"/>
    </sheetView>
  </sheetViews>
  <sheetFormatPr defaultRowHeight="15" x14ac:dyDescent="0.25"/>
  <cols>
    <col min="1" max="1" width="9.140625" style="4"/>
    <col min="2" max="2" width="31" style="4" customWidth="1"/>
    <col min="3" max="3" width="18.42578125" style="4" customWidth="1"/>
    <col min="4" max="4" width="40.5703125" style="4" customWidth="1"/>
    <col min="5" max="5" width="10.140625" style="4" customWidth="1"/>
    <col min="6" max="6" width="10.42578125" style="4" customWidth="1"/>
    <col min="7" max="7" width="16.7109375" style="4" customWidth="1"/>
    <col min="8" max="8" width="16.85546875" style="4" customWidth="1"/>
    <col min="9" max="9" width="17.140625" style="4" customWidth="1"/>
    <col min="10" max="11" width="17.28515625" style="4" customWidth="1"/>
    <col min="12" max="12" width="16.7109375" style="4" customWidth="1"/>
    <col min="13" max="13" width="14.28515625" style="4" customWidth="1"/>
    <col min="14" max="16384" width="9.140625" style="4"/>
  </cols>
  <sheetData>
    <row r="1" spans="1:13" ht="15" customHeight="1" x14ac:dyDescent="0.25">
      <c r="A1" s="20"/>
      <c r="B1" s="20"/>
      <c r="C1" s="20"/>
      <c r="D1" s="21"/>
      <c r="E1" s="21"/>
      <c r="F1" s="20"/>
      <c r="G1" s="20"/>
      <c r="H1" s="20"/>
      <c r="I1" s="20"/>
      <c r="J1" s="20"/>
      <c r="K1" s="20"/>
      <c r="L1" s="20"/>
      <c r="M1" s="20"/>
    </row>
    <row r="2" spans="1:13" ht="57.75" customHeight="1" x14ac:dyDescent="0.25">
      <c r="A2" s="29" t="s">
        <v>170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57.75" customHeight="1" x14ac:dyDescent="0.25">
      <c r="A3" s="30" t="s">
        <v>178</v>
      </c>
      <c r="B3" s="31"/>
      <c r="C3" s="31"/>
      <c r="D3" s="31"/>
      <c r="E3" s="32"/>
      <c r="F3" s="30" t="s">
        <v>177</v>
      </c>
      <c r="G3" s="31"/>
      <c r="H3" s="31"/>
      <c r="I3" s="31"/>
      <c r="J3" s="31"/>
      <c r="K3" s="31"/>
      <c r="L3" s="31"/>
      <c r="M3" s="32"/>
    </row>
    <row r="4" spans="1:13" ht="57.75" customHeight="1" x14ac:dyDescent="0.25">
      <c r="A4" s="24" t="s">
        <v>171</v>
      </c>
      <c r="B4" s="25"/>
      <c r="C4" s="25"/>
      <c r="D4" s="25"/>
      <c r="E4" s="26"/>
      <c r="F4" s="24" t="s">
        <v>172</v>
      </c>
      <c r="G4" s="25"/>
      <c r="H4" s="25"/>
      <c r="I4" s="25"/>
      <c r="J4" s="25"/>
      <c r="K4" s="25"/>
      <c r="L4" s="25"/>
      <c r="M4" s="26"/>
    </row>
    <row r="5" spans="1:13" x14ac:dyDescent="0.25">
      <c r="A5" s="24" t="s">
        <v>173</v>
      </c>
      <c r="B5" s="25"/>
      <c r="C5" s="25"/>
      <c r="D5" s="25"/>
      <c r="E5" s="26"/>
      <c r="F5" s="24" t="s">
        <v>174</v>
      </c>
      <c r="G5" s="25"/>
      <c r="H5" s="25"/>
      <c r="I5" s="25"/>
      <c r="J5" s="25"/>
      <c r="K5" s="25"/>
      <c r="L5" s="25"/>
      <c r="M5" s="26"/>
    </row>
    <row r="6" spans="1:13" ht="56.25" customHeight="1" x14ac:dyDescent="0.25">
      <c r="A6" s="27" t="s">
        <v>176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25.5" customHeight="1" thickBot="1" x14ac:dyDescent="0.3">
      <c r="A7" s="22"/>
      <c r="B7" s="22"/>
      <c r="C7" s="22"/>
      <c r="D7" s="22"/>
      <c r="E7" s="28" t="s">
        <v>175</v>
      </c>
      <c r="F7" s="28"/>
      <c r="G7" s="28"/>
      <c r="H7" s="28"/>
      <c r="I7" s="22"/>
      <c r="J7" s="22"/>
      <c r="K7" s="22"/>
      <c r="L7" s="22"/>
      <c r="M7" s="22"/>
    </row>
    <row r="8" spans="1:13" ht="36.75" customHeight="1" thickBot="1" x14ac:dyDescent="0.3">
      <c r="A8" s="6"/>
      <c r="B8" s="33"/>
      <c r="C8" s="34" t="s">
        <v>179</v>
      </c>
      <c r="D8" s="35" t="s">
        <v>180</v>
      </c>
      <c r="E8" s="36" t="s">
        <v>181</v>
      </c>
      <c r="F8" s="36"/>
      <c r="G8" s="36"/>
      <c r="H8" s="37"/>
      <c r="I8" s="36" t="s">
        <v>182</v>
      </c>
      <c r="J8" s="37"/>
      <c r="K8" s="36" t="s">
        <v>183</v>
      </c>
      <c r="L8" s="37"/>
      <c r="M8" s="23"/>
    </row>
    <row r="9" spans="1:13" ht="54" customHeight="1" thickBot="1" x14ac:dyDescent="0.3">
      <c r="A9" s="6" t="s">
        <v>184</v>
      </c>
      <c r="B9" s="33"/>
      <c r="C9" s="34"/>
      <c r="D9" s="35"/>
      <c r="E9" s="38" t="s">
        <v>185</v>
      </c>
      <c r="F9" s="39" t="s">
        <v>186</v>
      </c>
      <c r="G9" s="38" t="s">
        <v>187</v>
      </c>
      <c r="H9" s="40" t="s">
        <v>188</v>
      </c>
      <c r="I9" s="38" t="s">
        <v>187</v>
      </c>
      <c r="J9" s="40" t="s">
        <v>188</v>
      </c>
      <c r="K9" s="38" t="s">
        <v>187</v>
      </c>
      <c r="L9" s="41" t="s">
        <v>189</v>
      </c>
      <c r="M9" s="20"/>
    </row>
    <row r="10" spans="1:13" ht="48.75" customHeight="1" x14ac:dyDescent="0.25">
      <c r="A10" s="9"/>
      <c r="B10" s="10" t="s">
        <v>0</v>
      </c>
      <c r="C10" s="11"/>
      <c r="D10" s="11"/>
      <c r="E10" s="16"/>
      <c r="F10" s="16"/>
      <c r="G10" s="16"/>
      <c r="H10" s="16"/>
      <c r="I10" s="16"/>
      <c r="J10" s="16"/>
      <c r="K10" s="17"/>
      <c r="L10" s="18"/>
    </row>
    <row r="11" spans="1:13" x14ac:dyDescent="0.25">
      <c r="A11" s="8"/>
      <c r="B11" s="5"/>
      <c r="C11" s="6">
        <v>601817575</v>
      </c>
      <c r="D11" s="1" t="s">
        <v>1</v>
      </c>
      <c r="E11" s="2">
        <f>681*6</f>
        <v>4086</v>
      </c>
      <c r="F11" s="2">
        <f>774*6</f>
        <v>4644</v>
      </c>
      <c r="G11" s="2">
        <f>E11*100</f>
        <v>408600</v>
      </c>
      <c r="H11" s="2">
        <f>F11*100</f>
        <v>464400</v>
      </c>
      <c r="I11" s="2">
        <f>218293*6</f>
        <v>1309758</v>
      </c>
      <c r="J11" s="2">
        <f>291604*6</f>
        <v>1749624</v>
      </c>
      <c r="K11" s="2">
        <f>422593*6</f>
        <v>2535558</v>
      </c>
      <c r="L11" s="8">
        <f>523804*6</f>
        <v>3142824</v>
      </c>
    </row>
    <row r="12" spans="1:13" x14ac:dyDescent="0.25">
      <c r="A12" s="8"/>
      <c r="B12" s="5"/>
      <c r="C12" s="6">
        <v>601819055</v>
      </c>
      <c r="D12" s="1" t="s">
        <v>2</v>
      </c>
      <c r="E12" s="2">
        <f>681*6</f>
        <v>4086</v>
      </c>
      <c r="F12" s="2">
        <f>774*6</f>
        <v>4644</v>
      </c>
      <c r="G12" s="2">
        <f t="shared" ref="G12:G75" si="0">E12*100</f>
        <v>408600</v>
      </c>
      <c r="H12" s="2">
        <f t="shared" ref="H12:H75" si="1">F12*100</f>
        <v>464400</v>
      </c>
      <c r="I12" s="2">
        <f>218293*6</f>
        <v>1309758</v>
      </c>
      <c r="J12" s="2">
        <f>291604*6</f>
        <v>1749624</v>
      </c>
      <c r="K12" s="2">
        <f>422593*6</f>
        <v>2535558</v>
      </c>
      <c r="L12" s="8">
        <f>523804*6</f>
        <v>3142824</v>
      </c>
    </row>
    <row r="13" spans="1:13" x14ac:dyDescent="0.25">
      <c r="A13" s="8"/>
      <c r="B13" s="5"/>
      <c r="C13" s="6">
        <v>601817576</v>
      </c>
      <c r="D13" s="1" t="s">
        <v>3</v>
      </c>
      <c r="E13" s="2">
        <f>697*6</f>
        <v>4182</v>
      </c>
      <c r="F13" s="2">
        <f>793*6</f>
        <v>4758</v>
      </c>
      <c r="G13" s="2">
        <f t="shared" si="0"/>
        <v>418200</v>
      </c>
      <c r="H13" s="2">
        <f t="shared" si="1"/>
        <v>475800</v>
      </c>
      <c r="I13" s="2">
        <f>220693*6</f>
        <v>1324158</v>
      </c>
      <c r="J13" s="2">
        <f>294454*6</f>
        <v>1766724</v>
      </c>
      <c r="K13" s="2">
        <f>429793*6</f>
        <v>2578758</v>
      </c>
      <c r="L13" s="8">
        <f>532354*6</f>
        <v>3194124</v>
      </c>
    </row>
    <row r="14" spans="1:13" x14ac:dyDescent="0.25">
      <c r="A14" s="8"/>
      <c r="B14" s="5"/>
      <c r="C14" s="6">
        <v>601819000</v>
      </c>
      <c r="D14" s="1" t="s">
        <v>4</v>
      </c>
      <c r="E14" s="2">
        <f>681*6</f>
        <v>4086</v>
      </c>
      <c r="F14" s="2">
        <f>774*6</f>
        <v>4644</v>
      </c>
      <c r="G14" s="2">
        <f t="shared" si="0"/>
        <v>408600</v>
      </c>
      <c r="H14" s="2">
        <f t="shared" si="1"/>
        <v>464400</v>
      </c>
      <c r="I14" s="2">
        <f>218293*6</f>
        <v>1309758</v>
      </c>
      <c r="J14" s="2">
        <f>291604*6</f>
        <v>1749624</v>
      </c>
      <c r="K14" s="2">
        <f>422593*6</f>
        <v>2535558</v>
      </c>
      <c r="L14" s="8">
        <f>523804*6</f>
        <v>3142824</v>
      </c>
    </row>
    <row r="15" spans="1:13" x14ac:dyDescent="0.25">
      <c r="A15" s="8"/>
      <c r="B15" s="5"/>
      <c r="C15" s="6">
        <v>601819071</v>
      </c>
      <c r="D15" s="1" t="s">
        <v>5</v>
      </c>
      <c r="E15" s="2">
        <f>681*6</f>
        <v>4086</v>
      </c>
      <c r="F15" s="2">
        <f>774*6</f>
        <v>4644</v>
      </c>
      <c r="G15" s="2">
        <f t="shared" si="0"/>
        <v>408600</v>
      </c>
      <c r="H15" s="2">
        <f t="shared" si="1"/>
        <v>464400</v>
      </c>
      <c r="I15" s="2">
        <f>218293*6</f>
        <v>1309758</v>
      </c>
      <c r="J15" s="2">
        <f>291604*6</f>
        <v>1749624</v>
      </c>
      <c r="K15" s="2">
        <f>422593*6</f>
        <v>2535558</v>
      </c>
      <c r="L15" s="8">
        <f>523804*6</f>
        <v>3142824</v>
      </c>
    </row>
    <row r="16" spans="1:13" ht="45" x14ac:dyDescent="0.25">
      <c r="A16" s="8"/>
      <c r="B16" s="5"/>
      <c r="C16" s="6">
        <v>601817577</v>
      </c>
      <c r="D16" s="1" t="s">
        <v>6</v>
      </c>
      <c r="E16" s="2">
        <f>566*6</f>
        <v>3396</v>
      </c>
      <c r="F16" s="2">
        <f>644*6</f>
        <v>3864</v>
      </c>
      <c r="G16" s="2">
        <f t="shared" si="0"/>
        <v>339600</v>
      </c>
      <c r="H16" s="2">
        <f t="shared" si="1"/>
        <v>386400</v>
      </c>
      <c r="I16" s="2">
        <f>201043*6</f>
        <v>1206258</v>
      </c>
      <c r="J16" s="2">
        <f>272104*6</f>
        <v>1632624</v>
      </c>
      <c r="K16" s="2">
        <f>370843*6</f>
        <v>2225058</v>
      </c>
      <c r="L16" s="8">
        <f>465304*6</f>
        <v>2791824</v>
      </c>
    </row>
    <row r="17" spans="1:12" ht="60" x14ac:dyDescent="0.25">
      <c r="A17" s="8"/>
      <c r="B17" s="5"/>
      <c r="C17" s="6">
        <v>601819016</v>
      </c>
      <c r="D17" s="1" t="s">
        <v>7</v>
      </c>
      <c r="E17" s="2">
        <f>681*6</f>
        <v>4086</v>
      </c>
      <c r="F17" s="2">
        <f>774*6</f>
        <v>4644</v>
      </c>
      <c r="G17" s="2">
        <f t="shared" si="0"/>
        <v>408600</v>
      </c>
      <c r="H17" s="2">
        <f t="shared" si="1"/>
        <v>464400</v>
      </c>
      <c r="I17" s="2">
        <f>218293*6</f>
        <v>1309758</v>
      </c>
      <c r="J17" s="2">
        <f>291604*6</f>
        <v>1749624</v>
      </c>
      <c r="K17" s="2">
        <f>422593*6</f>
        <v>2535558</v>
      </c>
      <c r="L17" s="8">
        <f>523804*6</f>
        <v>3142824</v>
      </c>
    </row>
    <row r="18" spans="1:12" ht="45" x14ac:dyDescent="0.25">
      <c r="A18" s="8"/>
      <c r="B18" s="5"/>
      <c r="C18" s="6">
        <v>601817562</v>
      </c>
      <c r="D18" s="1" t="s">
        <v>8</v>
      </c>
      <c r="E18" s="2">
        <f>676*6</f>
        <v>4056</v>
      </c>
      <c r="F18" s="2">
        <f>771*6</f>
        <v>4626</v>
      </c>
      <c r="G18" s="2">
        <f t="shared" si="0"/>
        <v>405600</v>
      </c>
      <c r="H18" s="2">
        <f t="shared" si="1"/>
        <v>462600</v>
      </c>
      <c r="I18" s="2">
        <f>217543*6</f>
        <v>1305258</v>
      </c>
      <c r="J18" s="2">
        <f>291154*6</f>
        <v>1746924</v>
      </c>
      <c r="K18" s="2">
        <f>420343*6</f>
        <v>2522058</v>
      </c>
      <c r="L18" s="8">
        <f>522454*6</f>
        <v>3134724</v>
      </c>
    </row>
    <row r="19" spans="1:12" x14ac:dyDescent="0.25">
      <c r="A19" s="8"/>
      <c r="B19" s="5"/>
      <c r="C19" s="6">
        <v>601817553</v>
      </c>
      <c r="D19" s="1" t="s">
        <v>9</v>
      </c>
      <c r="E19" s="2">
        <f>640*6</f>
        <v>3840</v>
      </c>
      <c r="F19" s="2">
        <f>726*6</f>
        <v>4356</v>
      </c>
      <c r="G19" s="2">
        <f t="shared" si="0"/>
        <v>384000</v>
      </c>
      <c r="H19" s="2">
        <f t="shared" si="1"/>
        <v>435600</v>
      </c>
      <c r="I19" s="2">
        <f>212143*6</f>
        <v>1272858</v>
      </c>
      <c r="J19" s="2">
        <f>284404*6</f>
        <v>1706424</v>
      </c>
      <c r="K19" s="2">
        <f>404143*6</f>
        <v>2424858</v>
      </c>
      <c r="L19" s="8">
        <f>502204*6</f>
        <v>3013224</v>
      </c>
    </row>
    <row r="20" spans="1:12" ht="30" x14ac:dyDescent="0.25">
      <c r="A20" s="8"/>
      <c r="B20" s="5"/>
      <c r="C20" s="6">
        <v>601817352</v>
      </c>
      <c r="D20" s="1" t="s">
        <v>10</v>
      </c>
      <c r="E20" s="2">
        <f>728*6</f>
        <v>4368</v>
      </c>
      <c r="F20" s="2">
        <f>827*6</f>
        <v>4962</v>
      </c>
      <c r="G20" s="2">
        <f t="shared" si="0"/>
        <v>436800</v>
      </c>
      <c r="H20" s="2">
        <f t="shared" si="1"/>
        <v>496200</v>
      </c>
      <c r="I20" s="2">
        <f>225343*6</f>
        <v>1352058</v>
      </c>
      <c r="J20" s="2">
        <f>299554*6</f>
        <v>1797324</v>
      </c>
      <c r="K20" s="2">
        <f>443743*6</f>
        <v>2662458</v>
      </c>
      <c r="L20" s="8">
        <f>547654*6</f>
        <v>3285924</v>
      </c>
    </row>
    <row r="21" spans="1:12" ht="45" x14ac:dyDescent="0.25">
      <c r="A21" s="8"/>
      <c r="B21" s="5"/>
      <c r="C21" s="6">
        <v>601817351</v>
      </c>
      <c r="D21" s="1" t="s">
        <v>11</v>
      </c>
      <c r="E21" s="2">
        <f>785*6</f>
        <v>4710</v>
      </c>
      <c r="F21" s="2">
        <f>891*6</f>
        <v>5346</v>
      </c>
      <c r="G21" s="2">
        <f t="shared" si="0"/>
        <v>471000</v>
      </c>
      <c r="H21" s="2">
        <f t="shared" si="1"/>
        <v>534600</v>
      </c>
      <c r="I21" s="2">
        <f>233893*6</f>
        <v>1403358</v>
      </c>
      <c r="J21" s="2">
        <f>309154*6</f>
        <v>1854924</v>
      </c>
      <c r="K21" s="2">
        <f>469393*6</f>
        <v>2816358</v>
      </c>
      <c r="L21" s="8">
        <f>576454*6</f>
        <v>3458724</v>
      </c>
    </row>
    <row r="22" spans="1:12" x14ac:dyDescent="0.25">
      <c r="A22" s="8"/>
      <c r="B22" s="5"/>
      <c r="C22" s="6">
        <v>601819037</v>
      </c>
      <c r="D22" s="1" t="s">
        <v>12</v>
      </c>
      <c r="E22" s="2">
        <f>681*6</f>
        <v>4086</v>
      </c>
      <c r="F22" s="2">
        <f>774*6</f>
        <v>4644</v>
      </c>
      <c r="G22" s="2">
        <f t="shared" si="0"/>
        <v>408600</v>
      </c>
      <c r="H22" s="2">
        <f t="shared" si="1"/>
        <v>464400</v>
      </c>
      <c r="I22" s="2">
        <f>218293*6</f>
        <v>1309758</v>
      </c>
      <c r="J22" s="2">
        <f>291604*6</f>
        <v>1749624</v>
      </c>
      <c r="K22" s="2">
        <f>422593*6</f>
        <v>2535558</v>
      </c>
      <c r="L22" s="8">
        <f>523804*6</f>
        <v>3142824</v>
      </c>
    </row>
    <row r="23" spans="1:12" ht="45" x14ac:dyDescent="0.25">
      <c r="A23" s="8"/>
      <c r="B23" s="5"/>
      <c r="C23" s="6">
        <v>601819015</v>
      </c>
      <c r="D23" s="1" t="s">
        <v>13</v>
      </c>
      <c r="E23" s="2">
        <f>664*6</f>
        <v>3984</v>
      </c>
      <c r="F23" s="2">
        <f>755*6</f>
        <v>4530</v>
      </c>
      <c r="G23" s="2">
        <f t="shared" si="0"/>
        <v>398400</v>
      </c>
      <c r="H23" s="2">
        <f t="shared" si="1"/>
        <v>453000</v>
      </c>
      <c r="I23" s="2">
        <f>215743*6</f>
        <v>1294458</v>
      </c>
      <c r="J23" s="2">
        <f>288754*6</f>
        <v>1732524</v>
      </c>
      <c r="K23" s="2">
        <f>414943*6</f>
        <v>2489658</v>
      </c>
      <c r="L23" s="8">
        <f>515254*6</f>
        <v>3091524</v>
      </c>
    </row>
    <row r="24" spans="1:12" ht="45" x14ac:dyDescent="0.25">
      <c r="A24" s="9"/>
      <c r="B24" s="10" t="s">
        <v>14</v>
      </c>
      <c r="C24" s="7"/>
      <c r="D24" s="11"/>
      <c r="E24" s="12"/>
      <c r="F24" s="12"/>
      <c r="G24" s="12"/>
      <c r="H24" s="12"/>
      <c r="I24" s="12"/>
      <c r="J24" s="12"/>
      <c r="K24" s="12"/>
      <c r="L24" s="9"/>
    </row>
    <row r="25" spans="1:12" ht="30" x14ac:dyDescent="0.25">
      <c r="A25" s="8"/>
      <c r="B25" s="5" t="s">
        <v>15</v>
      </c>
      <c r="C25" s="6">
        <v>601819487</v>
      </c>
      <c r="D25" s="1" t="s">
        <v>16</v>
      </c>
      <c r="E25" s="2">
        <f>701*6</f>
        <v>4206</v>
      </c>
      <c r="F25" s="2">
        <f>839*6</f>
        <v>5034</v>
      </c>
      <c r="G25" s="2">
        <f t="shared" si="0"/>
        <v>420600</v>
      </c>
      <c r="H25" s="2">
        <f t="shared" si="1"/>
        <v>503400</v>
      </c>
      <c r="I25" s="2">
        <f>186243*6</f>
        <v>1117458</v>
      </c>
      <c r="J25" s="2">
        <f>259404*6</f>
        <v>1556424</v>
      </c>
      <c r="K25" s="2">
        <f>326443*6</f>
        <v>1958658</v>
      </c>
      <c r="L25" s="8">
        <f>427204*6</f>
        <v>2563224</v>
      </c>
    </row>
    <row r="26" spans="1:12" ht="30" x14ac:dyDescent="0.25">
      <c r="A26" s="8"/>
      <c r="B26" s="5" t="s">
        <v>15</v>
      </c>
      <c r="C26" s="6">
        <v>601819481</v>
      </c>
      <c r="D26" s="1" t="s">
        <v>17</v>
      </c>
      <c r="E26" s="2">
        <f>671*6</f>
        <v>4026</v>
      </c>
      <c r="F26" s="2">
        <f>804*6</f>
        <v>4824</v>
      </c>
      <c r="G26" s="2">
        <f t="shared" si="0"/>
        <v>402600</v>
      </c>
      <c r="H26" s="2">
        <f t="shared" si="1"/>
        <v>482400</v>
      </c>
      <c r="I26" s="2">
        <f>183243*6</f>
        <v>1099458</v>
      </c>
      <c r="J26" s="2">
        <f>255904*6</f>
        <v>1535424</v>
      </c>
      <c r="K26" s="2">
        <f>317443*6</f>
        <v>1904658</v>
      </c>
      <c r="L26" s="8">
        <f>416704*6</f>
        <v>2500224</v>
      </c>
    </row>
    <row r="27" spans="1:12" ht="30" x14ac:dyDescent="0.25">
      <c r="A27" s="8"/>
      <c r="B27" s="5"/>
      <c r="C27" s="6">
        <v>601817580</v>
      </c>
      <c r="D27" s="1" t="s">
        <v>18</v>
      </c>
      <c r="E27" s="2">
        <f>677*6</f>
        <v>4062</v>
      </c>
      <c r="F27" s="2">
        <f>771*6</f>
        <v>4626</v>
      </c>
      <c r="G27" s="2">
        <f t="shared" si="0"/>
        <v>406200</v>
      </c>
      <c r="H27" s="2">
        <f t="shared" si="1"/>
        <v>462600</v>
      </c>
      <c r="I27" s="2">
        <f>183843*6</f>
        <v>1103058</v>
      </c>
      <c r="J27" s="2">
        <f>252604*6</f>
        <v>1515624</v>
      </c>
      <c r="K27" s="2">
        <f>319243*6</f>
        <v>1915458</v>
      </c>
      <c r="L27" s="8">
        <f>406804*6</f>
        <v>2440824</v>
      </c>
    </row>
    <row r="28" spans="1:12" x14ac:dyDescent="0.25">
      <c r="A28" s="8"/>
      <c r="B28" s="5" t="s">
        <v>15</v>
      </c>
      <c r="C28" s="6">
        <v>601819301</v>
      </c>
      <c r="D28" s="1" t="s">
        <v>19</v>
      </c>
      <c r="E28" s="2">
        <f>753*6</f>
        <v>4518</v>
      </c>
      <c r="F28" s="2">
        <f>856*6</f>
        <v>5136</v>
      </c>
      <c r="G28" s="2">
        <f t="shared" si="0"/>
        <v>451800</v>
      </c>
      <c r="H28" s="2">
        <f t="shared" si="1"/>
        <v>513600</v>
      </c>
      <c r="I28" s="2">
        <f>191443*3</f>
        <v>574329</v>
      </c>
      <c r="J28" s="2">
        <f>261104*6</f>
        <v>1566624</v>
      </c>
      <c r="K28" s="2">
        <f>342043*6</f>
        <v>2052258</v>
      </c>
      <c r="L28" s="8">
        <f>432304*6</f>
        <v>2593824</v>
      </c>
    </row>
    <row r="29" spans="1:12" ht="45" x14ac:dyDescent="0.25">
      <c r="A29" s="8"/>
      <c r="B29" s="5" t="s">
        <v>15</v>
      </c>
      <c r="C29" s="6">
        <v>601819551</v>
      </c>
      <c r="D29" s="1" t="s">
        <v>20</v>
      </c>
      <c r="E29" s="2">
        <f>805*6</f>
        <v>4830</v>
      </c>
      <c r="F29" s="2">
        <f>915*6</f>
        <v>5490</v>
      </c>
      <c r="G29" s="2">
        <f t="shared" si="0"/>
        <v>483000</v>
      </c>
      <c r="H29" s="2">
        <f t="shared" si="1"/>
        <v>549000</v>
      </c>
      <c r="I29" s="2">
        <f>196643*6</f>
        <v>1179858</v>
      </c>
      <c r="J29" s="2">
        <f>267004*6</f>
        <v>1602024</v>
      </c>
      <c r="K29" s="2">
        <f>357643*6</f>
        <v>2145858</v>
      </c>
      <c r="L29" s="8">
        <f>450004*6</f>
        <v>2700024</v>
      </c>
    </row>
    <row r="30" spans="1:12" ht="30" x14ac:dyDescent="0.25">
      <c r="A30" s="8"/>
      <c r="B30" s="5"/>
      <c r="C30" s="6">
        <v>601817337</v>
      </c>
      <c r="D30" s="1" t="s">
        <v>21</v>
      </c>
      <c r="E30" s="2">
        <f>820*6</f>
        <v>4920</v>
      </c>
      <c r="F30" s="2">
        <f>932*6</f>
        <v>5592</v>
      </c>
      <c r="G30" s="2">
        <f t="shared" si="0"/>
        <v>492000</v>
      </c>
      <c r="H30" s="2">
        <f t="shared" si="1"/>
        <v>559200</v>
      </c>
      <c r="I30" s="2">
        <f>198143*6</f>
        <v>1188858</v>
      </c>
      <c r="J30" s="2">
        <f>268704*6</f>
        <v>1612224</v>
      </c>
      <c r="K30" s="2">
        <f>362143*6</f>
        <v>2172858</v>
      </c>
      <c r="L30" s="8">
        <f>455104*6</f>
        <v>2730624</v>
      </c>
    </row>
    <row r="31" spans="1:12" x14ac:dyDescent="0.25">
      <c r="A31" s="8"/>
      <c r="B31" s="5" t="s">
        <v>15</v>
      </c>
      <c r="C31" s="6">
        <v>601819317</v>
      </c>
      <c r="D31" s="1" t="s">
        <v>22</v>
      </c>
      <c r="E31" s="2">
        <f>802*6</f>
        <v>4812</v>
      </c>
      <c r="F31" s="2">
        <f>911*6</f>
        <v>5466</v>
      </c>
      <c r="G31" s="2">
        <f t="shared" si="0"/>
        <v>481200</v>
      </c>
      <c r="H31" s="2">
        <f t="shared" si="1"/>
        <v>546600</v>
      </c>
      <c r="I31" s="2">
        <f>196343*6</f>
        <v>1178058</v>
      </c>
      <c r="J31" s="2">
        <f>266604*6</f>
        <v>1599624</v>
      </c>
      <c r="K31" s="2">
        <f>356743*6</f>
        <v>2140458</v>
      </c>
      <c r="L31" s="8">
        <f>448804*6</f>
        <v>2692824</v>
      </c>
    </row>
    <row r="32" spans="1:12" x14ac:dyDescent="0.25">
      <c r="A32" s="8"/>
      <c r="B32" s="5" t="s">
        <v>15</v>
      </c>
      <c r="C32" s="6">
        <v>601819499</v>
      </c>
      <c r="D32" s="1" t="s">
        <v>23</v>
      </c>
      <c r="E32" s="2">
        <f>811*6</f>
        <v>4866</v>
      </c>
      <c r="F32" s="2">
        <f>972*6</f>
        <v>5832</v>
      </c>
      <c r="G32" s="2">
        <f t="shared" si="0"/>
        <v>486600</v>
      </c>
      <c r="H32" s="2">
        <f t="shared" si="1"/>
        <v>583200</v>
      </c>
      <c r="I32" s="2">
        <f>197243*6</f>
        <v>1183458</v>
      </c>
      <c r="J32" s="2">
        <f>272704*6</f>
        <v>1636224</v>
      </c>
      <c r="K32" s="2">
        <f>359443*6</f>
        <v>2156658</v>
      </c>
      <c r="L32" s="8">
        <f>467104*6</f>
        <v>2802624</v>
      </c>
    </row>
    <row r="33" spans="1:12" ht="30" x14ac:dyDescent="0.25">
      <c r="A33" s="8"/>
      <c r="B33" s="5" t="s">
        <v>15</v>
      </c>
      <c r="C33" s="6">
        <v>601819515</v>
      </c>
      <c r="D33" s="1" t="s">
        <v>24</v>
      </c>
      <c r="E33" s="2">
        <f>580*6</f>
        <v>3480</v>
      </c>
      <c r="F33" s="2">
        <f>695*6</f>
        <v>4170</v>
      </c>
      <c r="G33" s="2">
        <f t="shared" si="0"/>
        <v>348000</v>
      </c>
      <c r="H33" s="2">
        <f t="shared" si="1"/>
        <v>417000</v>
      </c>
      <c r="I33" s="2">
        <f>174143*6</f>
        <v>1044858</v>
      </c>
      <c r="J33" s="2">
        <f>245004*6</f>
        <v>1470024</v>
      </c>
      <c r="K33" s="2">
        <f>290143*6</f>
        <v>1740858</v>
      </c>
      <c r="L33" s="8">
        <f>384004*6</f>
        <v>2304024</v>
      </c>
    </row>
    <row r="34" spans="1:12" ht="45" x14ac:dyDescent="0.25">
      <c r="A34" s="8"/>
      <c r="B34" s="5" t="s">
        <v>15</v>
      </c>
      <c r="C34" s="6">
        <v>601819302</v>
      </c>
      <c r="D34" s="1" t="s">
        <v>25</v>
      </c>
      <c r="E34" s="2">
        <f>816*6</f>
        <v>4896</v>
      </c>
      <c r="F34" s="2">
        <f>978*6</f>
        <v>5868</v>
      </c>
      <c r="G34" s="2">
        <f t="shared" si="0"/>
        <v>489600</v>
      </c>
      <c r="H34" s="2">
        <f t="shared" si="1"/>
        <v>586800</v>
      </c>
      <c r="I34" s="2">
        <f>197743*6</f>
        <v>1186458</v>
      </c>
      <c r="J34" s="2">
        <f>273304*6</f>
        <v>1639824</v>
      </c>
      <c r="K34" s="2">
        <f>360943*6</f>
        <v>2165658</v>
      </c>
      <c r="L34" s="8">
        <f>468904*6</f>
        <v>2813424</v>
      </c>
    </row>
    <row r="35" spans="1:12" ht="45" x14ac:dyDescent="0.25">
      <c r="A35" s="8"/>
      <c r="B35" s="5" t="s">
        <v>15</v>
      </c>
      <c r="C35" s="6">
        <v>601819489</v>
      </c>
      <c r="D35" s="1" t="s">
        <v>26</v>
      </c>
      <c r="E35" s="2">
        <f>698*6</f>
        <v>4188</v>
      </c>
      <c r="F35" s="2">
        <f>836*6</f>
        <v>5016</v>
      </c>
      <c r="G35" s="2">
        <f t="shared" si="0"/>
        <v>418800</v>
      </c>
      <c r="H35" s="2">
        <f t="shared" si="1"/>
        <v>501600</v>
      </c>
      <c r="I35" s="2">
        <f>185943*6</f>
        <v>1115658</v>
      </c>
      <c r="J35" s="2">
        <f>259104*6</f>
        <v>1554624</v>
      </c>
      <c r="K35" s="2">
        <f>325543*6</f>
        <v>1953258</v>
      </c>
      <c r="L35" s="8">
        <f>426304*6</f>
        <v>2557824</v>
      </c>
    </row>
    <row r="36" spans="1:12" x14ac:dyDescent="0.25">
      <c r="A36" s="8"/>
      <c r="B36" s="5" t="s">
        <v>15</v>
      </c>
      <c r="C36" s="6">
        <v>601819509</v>
      </c>
      <c r="D36" s="1" t="s">
        <v>27</v>
      </c>
      <c r="E36" s="2">
        <f>701*6</f>
        <v>4206</v>
      </c>
      <c r="F36" s="2">
        <f>839*6</f>
        <v>5034</v>
      </c>
      <c r="G36" s="2">
        <f t="shared" si="0"/>
        <v>420600</v>
      </c>
      <c r="H36" s="2">
        <f t="shared" si="1"/>
        <v>503400</v>
      </c>
      <c r="I36" s="2">
        <f>186243*6</f>
        <v>1117458</v>
      </c>
      <c r="J36" s="2">
        <f>259404*6</f>
        <v>1556424</v>
      </c>
      <c r="K36" s="2">
        <f>326443*6</f>
        <v>1958658</v>
      </c>
      <c r="L36" s="8">
        <f>427204*6</f>
        <v>2563224</v>
      </c>
    </row>
    <row r="37" spans="1:12" ht="30" x14ac:dyDescent="0.25">
      <c r="A37" s="8"/>
      <c r="B37" s="5" t="s">
        <v>15</v>
      </c>
      <c r="C37" s="6">
        <v>601819471</v>
      </c>
      <c r="D37" s="1" t="s">
        <v>28</v>
      </c>
      <c r="E37" s="2">
        <f>954*6</f>
        <v>5724</v>
      </c>
      <c r="F37" s="2">
        <f>1143*6</f>
        <v>6858</v>
      </c>
      <c r="G37" s="2">
        <f t="shared" si="0"/>
        <v>572400</v>
      </c>
      <c r="H37" s="2">
        <f t="shared" si="1"/>
        <v>685800</v>
      </c>
      <c r="I37" s="2">
        <f>211543*6</f>
        <v>1269258</v>
      </c>
      <c r="J37" s="2">
        <f>289804*6</f>
        <v>1738824</v>
      </c>
      <c r="K37" s="2">
        <f>402343*6</f>
        <v>2414058</v>
      </c>
      <c r="L37" s="8">
        <f>518404*6</f>
        <v>3110424</v>
      </c>
    </row>
    <row r="38" spans="1:12" ht="30" x14ac:dyDescent="0.25">
      <c r="A38" s="8"/>
      <c r="B38" s="5" t="s">
        <v>15</v>
      </c>
      <c r="C38" s="6">
        <v>601819303</v>
      </c>
      <c r="D38" s="1" t="s">
        <v>29</v>
      </c>
      <c r="E38" s="2">
        <f>745*6</f>
        <v>4470</v>
      </c>
      <c r="F38" s="2">
        <f>846*6</f>
        <v>5076</v>
      </c>
      <c r="G38" s="2">
        <f t="shared" si="0"/>
        <v>447000</v>
      </c>
      <c r="H38" s="2">
        <f t="shared" si="1"/>
        <v>507600</v>
      </c>
      <c r="I38" s="2">
        <f>190643*6</f>
        <v>1143858</v>
      </c>
      <c r="J38" s="2">
        <f>260104*6</f>
        <v>1560624</v>
      </c>
      <c r="K38" s="2">
        <f>339643*6</f>
        <v>2037858</v>
      </c>
      <c r="L38" s="8">
        <f>429304*6</f>
        <v>2575824</v>
      </c>
    </row>
    <row r="39" spans="1:12" ht="30" x14ac:dyDescent="0.25">
      <c r="A39" s="8"/>
      <c r="B39" s="5"/>
      <c r="C39" s="6">
        <v>601817632</v>
      </c>
      <c r="D39" s="1" t="s">
        <v>30</v>
      </c>
      <c r="E39" s="2">
        <f>722*6</f>
        <v>4332</v>
      </c>
      <c r="F39" s="2">
        <f>820*6</f>
        <v>4920</v>
      </c>
      <c r="G39" s="2">
        <f t="shared" si="0"/>
        <v>433200</v>
      </c>
      <c r="H39" s="2">
        <f t="shared" si="1"/>
        <v>492000</v>
      </c>
      <c r="I39" s="2">
        <f>188343*6</f>
        <v>1130058</v>
      </c>
      <c r="J39" s="2">
        <f>257504*6</f>
        <v>1545024</v>
      </c>
      <c r="K39" s="2">
        <f>332743*6</f>
        <v>1996458</v>
      </c>
      <c r="L39" s="8">
        <f>421504*6</f>
        <v>2529024</v>
      </c>
    </row>
    <row r="40" spans="1:12" ht="30" x14ac:dyDescent="0.25">
      <c r="A40" s="8"/>
      <c r="B40" s="5" t="s">
        <v>15</v>
      </c>
      <c r="C40" s="6">
        <v>601819511</v>
      </c>
      <c r="D40" s="1" t="s">
        <v>31</v>
      </c>
      <c r="E40" s="2">
        <f>701*6</f>
        <v>4206</v>
      </c>
      <c r="F40" s="2">
        <f>839*6</f>
        <v>5034</v>
      </c>
      <c r="G40" s="2">
        <f t="shared" si="0"/>
        <v>420600</v>
      </c>
      <c r="H40" s="2">
        <f t="shared" si="1"/>
        <v>503400</v>
      </c>
      <c r="I40" s="2">
        <f>186243*6</f>
        <v>1117458</v>
      </c>
      <c r="J40" s="2">
        <f>259404*6</f>
        <v>1556424</v>
      </c>
      <c r="K40" s="2">
        <f>326443*6</f>
        <v>1958658</v>
      </c>
      <c r="L40" s="8">
        <f>427204*6</f>
        <v>2563224</v>
      </c>
    </row>
    <row r="41" spans="1:12" ht="30" x14ac:dyDescent="0.25">
      <c r="A41" s="8"/>
      <c r="B41" s="5" t="s">
        <v>15</v>
      </c>
      <c r="C41" s="6">
        <v>601819502</v>
      </c>
      <c r="D41" s="1" t="s">
        <v>32</v>
      </c>
      <c r="E41" s="2">
        <f>580*6</f>
        <v>3480</v>
      </c>
      <c r="F41" s="2">
        <f>695*6</f>
        <v>4170</v>
      </c>
      <c r="G41" s="2">
        <f t="shared" si="0"/>
        <v>348000</v>
      </c>
      <c r="H41" s="2">
        <f t="shared" si="1"/>
        <v>417000</v>
      </c>
      <c r="I41" s="2">
        <f>174143*6</f>
        <v>1044858</v>
      </c>
      <c r="J41" s="2">
        <f>245004*6</f>
        <v>1470024</v>
      </c>
      <c r="K41" s="2">
        <f>290143*6</f>
        <v>1740858</v>
      </c>
      <c r="L41" s="8">
        <f>384004*6</f>
        <v>2304024</v>
      </c>
    </row>
    <row r="42" spans="1:12" ht="30" x14ac:dyDescent="0.25">
      <c r="A42" s="8"/>
      <c r="B42" s="5"/>
      <c r="C42" s="6">
        <v>601817559</v>
      </c>
      <c r="D42" s="1" t="s">
        <v>33</v>
      </c>
      <c r="E42" s="2">
        <f>514*6</f>
        <v>3084</v>
      </c>
      <c r="F42" s="2">
        <f>585*6</f>
        <v>3510</v>
      </c>
      <c r="G42" s="2">
        <f t="shared" si="0"/>
        <v>308400</v>
      </c>
      <c r="H42" s="2">
        <f t="shared" si="1"/>
        <v>351000</v>
      </c>
      <c r="I42" s="2">
        <f>167543*6</f>
        <v>1005258</v>
      </c>
      <c r="J42" s="2">
        <f>234004*6</f>
        <v>1404024</v>
      </c>
      <c r="K42" s="2">
        <f>270343*6</f>
        <v>1622058</v>
      </c>
      <c r="L42" s="8">
        <f>351004*6</f>
        <v>2106024</v>
      </c>
    </row>
    <row r="43" spans="1:12" ht="30" x14ac:dyDescent="0.25">
      <c r="A43" s="8"/>
      <c r="B43" s="5" t="s">
        <v>15</v>
      </c>
      <c r="C43" s="6">
        <v>601819553</v>
      </c>
      <c r="D43" s="1" t="s">
        <v>34</v>
      </c>
      <c r="E43" s="2">
        <f>701*6</f>
        <v>4206</v>
      </c>
      <c r="F43" s="2">
        <f>839*6</f>
        <v>5034</v>
      </c>
      <c r="G43" s="2">
        <f t="shared" si="0"/>
        <v>420600</v>
      </c>
      <c r="H43" s="2">
        <f t="shared" si="1"/>
        <v>503400</v>
      </c>
      <c r="I43" s="2">
        <f>186243*6</f>
        <v>1117458</v>
      </c>
      <c r="J43" s="2">
        <f>259404*6</f>
        <v>1556424</v>
      </c>
      <c r="K43" s="2">
        <f>326443*6</f>
        <v>1958658</v>
      </c>
      <c r="L43" s="8">
        <f>427204*6</f>
        <v>2563224</v>
      </c>
    </row>
    <row r="44" spans="1:12" x14ac:dyDescent="0.25">
      <c r="A44" s="8"/>
      <c r="B44" s="5"/>
      <c r="C44" s="6">
        <v>601817348</v>
      </c>
      <c r="D44" s="1" t="s">
        <v>35</v>
      </c>
      <c r="E44" s="2">
        <f>584*6</f>
        <v>3504</v>
      </c>
      <c r="F44" s="2">
        <f>664*6</f>
        <v>3984</v>
      </c>
      <c r="G44" s="2">
        <f t="shared" si="0"/>
        <v>350400</v>
      </c>
      <c r="H44" s="2">
        <f t="shared" si="1"/>
        <v>398400</v>
      </c>
      <c r="I44" s="2">
        <f>174543*6</f>
        <v>1047258</v>
      </c>
      <c r="J44" s="2">
        <f>241904*6</f>
        <v>1451424</v>
      </c>
      <c r="K44" s="2">
        <f>291343*6</f>
        <v>1748058</v>
      </c>
      <c r="L44" s="8">
        <f>374704*6</f>
        <v>2248224</v>
      </c>
    </row>
    <row r="45" spans="1:12" ht="30" x14ac:dyDescent="0.25">
      <c r="A45" s="8"/>
      <c r="B45" s="5" t="s">
        <v>15</v>
      </c>
      <c r="C45" s="6">
        <v>601819479</v>
      </c>
      <c r="D45" s="1" t="s">
        <v>36</v>
      </c>
      <c r="E45" s="2">
        <f>863*6</f>
        <v>5178</v>
      </c>
      <c r="F45" s="2">
        <f>1033*6</f>
        <v>6198</v>
      </c>
      <c r="G45" s="2">
        <f t="shared" si="0"/>
        <v>517800</v>
      </c>
      <c r="H45" s="2">
        <f t="shared" si="1"/>
        <v>619800</v>
      </c>
      <c r="I45" s="2">
        <f>202443*6</f>
        <v>1214658</v>
      </c>
      <c r="J45" s="2">
        <f>278804*6</f>
        <v>1672824</v>
      </c>
      <c r="K45" s="2">
        <f>375043*6</f>
        <v>2250258</v>
      </c>
      <c r="L45" s="8">
        <f>485404*6</f>
        <v>2912424</v>
      </c>
    </row>
    <row r="46" spans="1:12" ht="45" x14ac:dyDescent="0.25">
      <c r="A46" s="8"/>
      <c r="B46" s="5"/>
      <c r="C46" s="6">
        <v>601817590</v>
      </c>
      <c r="D46" s="1" t="s">
        <v>37</v>
      </c>
      <c r="E46" s="2">
        <f>597*6</f>
        <v>3582</v>
      </c>
      <c r="F46" s="2">
        <f>679*6</f>
        <v>4074</v>
      </c>
      <c r="G46" s="2">
        <f t="shared" si="0"/>
        <v>358200</v>
      </c>
      <c r="H46" s="2">
        <f t="shared" si="1"/>
        <v>407400</v>
      </c>
      <c r="I46" s="2">
        <f>175843*6</f>
        <v>1055058</v>
      </c>
      <c r="J46" s="2">
        <f>243404*6</f>
        <v>1460424</v>
      </c>
      <c r="K46" s="2">
        <f>295243*6</f>
        <v>1771458</v>
      </c>
      <c r="L46" s="8">
        <f>379204*6</f>
        <v>2275224</v>
      </c>
    </row>
    <row r="47" spans="1:12" ht="45" x14ac:dyDescent="0.25">
      <c r="A47" s="8"/>
      <c r="B47" s="5" t="s">
        <v>15</v>
      </c>
      <c r="C47" s="6">
        <v>601819318</v>
      </c>
      <c r="D47" s="1" t="s">
        <v>38</v>
      </c>
      <c r="E47" s="2">
        <f>597*6</f>
        <v>3582</v>
      </c>
      <c r="F47" s="2">
        <f>679*6</f>
        <v>4074</v>
      </c>
      <c r="G47" s="2">
        <f t="shared" si="0"/>
        <v>358200</v>
      </c>
      <c r="H47" s="2">
        <f t="shared" si="1"/>
        <v>407400</v>
      </c>
      <c r="I47" s="2">
        <f>175843*6</f>
        <v>1055058</v>
      </c>
      <c r="J47" s="2">
        <f>243404*6</f>
        <v>1460424</v>
      </c>
      <c r="K47" s="2">
        <f>295243*6</f>
        <v>1771458</v>
      </c>
      <c r="L47" s="8">
        <f>379204*6</f>
        <v>2275224</v>
      </c>
    </row>
    <row r="48" spans="1:12" x14ac:dyDescent="0.25">
      <c r="A48" s="8"/>
      <c r="B48" s="5"/>
      <c r="C48" s="6">
        <v>601817651</v>
      </c>
      <c r="D48" s="1" t="s">
        <v>39</v>
      </c>
      <c r="E48" s="2">
        <f>662*6</f>
        <v>3972</v>
      </c>
      <c r="F48" s="2">
        <f>753*6</f>
        <v>4518</v>
      </c>
      <c r="G48" s="2">
        <f t="shared" si="0"/>
        <v>397200</v>
      </c>
      <c r="H48" s="2">
        <f t="shared" si="1"/>
        <v>451800</v>
      </c>
      <c r="I48" s="2">
        <f>182343*6</f>
        <v>1094058</v>
      </c>
      <c r="J48" s="2">
        <f>250804*6</f>
        <v>1504824</v>
      </c>
      <c r="K48" s="2">
        <f>314743*6</f>
        <v>1888458</v>
      </c>
      <c r="L48" s="8">
        <f>401404*6</f>
        <v>2408424</v>
      </c>
    </row>
    <row r="49" spans="1:12" x14ac:dyDescent="0.25">
      <c r="A49" s="8"/>
      <c r="B49" s="5" t="s">
        <v>15</v>
      </c>
      <c r="C49" s="6">
        <v>601819480</v>
      </c>
      <c r="D49" s="1" t="s">
        <v>40</v>
      </c>
      <c r="E49" s="2">
        <f>333*6</f>
        <v>1998</v>
      </c>
      <c r="F49" s="2">
        <f>400*6</f>
        <v>2400</v>
      </c>
      <c r="G49" s="2">
        <f t="shared" si="0"/>
        <v>199800</v>
      </c>
      <c r="H49" s="2">
        <f t="shared" si="1"/>
        <v>240000</v>
      </c>
      <c r="I49" s="2">
        <f>149443*6</f>
        <v>896658</v>
      </c>
      <c r="J49" s="2">
        <f>215504*6</f>
        <v>1293024</v>
      </c>
      <c r="K49" s="2">
        <f>216043*6</f>
        <v>1296258</v>
      </c>
      <c r="L49" s="8">
        <f>295504*6</f>
        <v>1773024</v>
      </c>
    </row>
    <row r="50" spans="1:12" ht="30" x14ac:dyDescent="0.25">
      <c r="A50" s="8"/>
      <c r="B50" s="5" t="s">
        <v>15</v>
      </c>
      <c r="C50" s="6">
        <v>601819555</v>
      </c>
      <c r="D50" s="1" t="s">
        <v>41</v>
      </c>
      <c r="E50" s="2">
        <f>580*6</f>
        <v>3480</v>
      </c>
      <c r="F50" s="2">
        <f>695*6</f>
        <v>4170</v>
      </c>
      <c r="G50" s="2">
        <f t="shared" si="0"/>
        <v>348000</v>
      </c>
      <c r="H50" s="2">
        <f t="shared" si="1"/>
        <v>417000</v>
      </c>
      <c r="I50" s="2">
        <f>174143*6</f>
        <v>1044858</v>
      </c>
      <c r="J50" s="2">
        <f>245004*6</f>
        <v>1470024</v>
      </c>
      <c r="K50" s="2">
        <f>290143*6</f>
        <v>1740858</v>
      </c>
      <c r="L50" s="8">
        <f>384004*6</f>
        <v>2304024</v>
      </c>
    </row>
    <row r="51" spans="1:12" ht="30" x14ac:dyDescent="0.25">
      <c r="A51" s="8"/>
      <c r="B51" s="5"/>
      <c r="C51" s="6">
        <v>601816178</v>
      </c>
      <c r="D51" s="1" t="s">
        <v>42</v>
      </c>
      <c r="E51" s="2">
        <f>786*6</f>
        <v>4716</v>
      </c>
      <c r="F51" s="2">
        <f>943*6</f>
        <v>5658</v>
      </c>
      <c r="G51" s="2">
        <f t="shared" si="0"/>
        <v>471600</v>
      </c>
      <c r="H51" s="2">
        <f t="shared" si="1"/>
        <v>565800</v>
      </c>
      <c r="I51" s="2">
        <f>194743*6</f>
        <v>1168458</v>
      </c>
      <c r="J51" s="2">
        <f>269804*6</f>
        <v>1618824</v>
      </c>
      <c r="K51" s="2">
        <f>351943*6</f>
        <v>2111658</v>
      </c>
      <c r="L51" s="8">
        <f>458404*6</f>
        <v>2750424</v>
      </c>
    </row>
    <row r="52" spans="1:12" x14ac:dyDescent="0.25">
      <c r="A52" s="8"/>
      <c r="B52" s="5" t="s">
        <v>15</v>
      </c>
      <c r="C52" s="6">
        <v>601819510</v>
      </c>
      <c r="D52" s="1" t="s">
        <v>43</v>
      </c>
      <c r="E52" s="2">
        <f>698*6</f>
        <v>4188</v>
      </c>
      <c r="F52" s="2">
        <f>836*6</f>
        <v>5016</v>
      </c>
      <c r="G52" s="2">
        <f t="shared" si="0"/>
        <v>418800</v>
      </c>
      <c r="H52" s="2">
        <f t="shared" si="1"/>
        <v>501600</v>
      </c>
      <c r="I52" s="2">
        <f>185943*6</f>
        <v>1115658</v>
      </c>
      <c r="J52" s="2">
        <f>259104*6</f>
        <v>1554624</v>
      </c>
      <c r="K52" s="2">
        <f>325543*6</f>
        <v>1953258</v>
      </c>
      <c r="L52" s="8">
        <f>426304*6</f>
        <v>2557824</v>
      </c>
    </row>
    <row r="53" spans="1:12" ht="30" x14ac:dyDescent="0.25">
      <c r="A53" s="8"/>
      <c r="B53" s="5" t="s">
        <v>15</v>
      </c>
      <c r="C53" s="6">
        <v>601819461</v>
      </c>
      <c r="D53" s="1" t="s">
        <v>44</v>
      </c>
      <c r="E53" s="2">
        <f>503*6</f>
        <v>3018</v>
      </c>
      <c r="F53" s="2">
        <f>602*6</f>
        <v>3612</v>
      </c>
      <c r="G53" s="2">
        <f t="shared" si="0"/>
        <v>301800</v>
      </c>
      <c r="H53" s="2">
        <f t="shared" si="1"/>
        <v>361200</v>
      </c>
      <c r="I53" s="2">
        <f>166443*6</f>
        <v>998658</v>
      </c>
      <c r="J53" s="2">
        <f>235704*6</f>
        <v>1414224</v>
      </c>
      <c r="K53" s="2">
        <f>267043*6</f>
        <v>1602258</v>
      </c>
      <c r="L53" s="8">
        <f>356104*6</f>
        <v>2136624</v>
      </c>
    </row>
    <row r="54" spans="1:12" ht="30" x14ac:dyDescent="0.25">
      <c r="A54" s="8"/>
      <c r="B54" s="5" t="s">
        <v>15</v>
      </c>
      <c r="C54" s="6">
        <v>601819500</v>
      </c>
      <c r="D54" s="1" t="s">
        <v>45</v>
      </c>
      <c r="E54" s="2">
        <f>631*6</f>
        <v>3786</v>
      </c>
      <c r="F54" s="2">
        <f>757*6</f>
        <v>4542</v>
      </c>
      <c r="G54" s="2">
        <f t="shared" si="0"/>
        <v>378600</v>
      </c>
      <c r="H54" s="2">
        <f t="shared" si="1"/>
        <v>454200</v>
      </c>
      <c r="I54" s="2">
        <f>179243*6</f>
        <v>1075458</v>
      </c>
      <c r="J54" s="2">
        <f>251204*6</f>
        <v>1507224</v>
      </c>
      <c r="K54" s="2">
        <f>305443*6</f>
        <v>1832658</v>
      </c>
      <c r="L54" s="8">
        <f>402604*6</f>
        <v>2415624</v>
      </c>
    </row>
    <row r="55" spans="1:12" ht="30" x14ac:dyDescent="0.25">
      <c r="A55" s="8"/>
      <c r="B55" s="5" t="s">
        <v>15</v>
      </c>
      <c r="C55" s="6">
        <v>601819307</v>
      </c>
      <c r="D55" s="1" t="s">
        <v>46</v>
      </c>
      <c r="E55" s="2">
        <f>835*6</f>
        <v>5010</v>
      </c>
      <c r="F55" s="2">
        <f>1000*6</f>
        <v>6000</v>
      </c>
      <c r="G55" s="2">
        <f t="shared" si="0"/>
        <v>501000</v>
      </c>
      <c r="H55" s="2">
        <f t="shared" si="1"/>
        <v>600000</v>
      </c>
      <c r="I55" s="2">
        <f>199643*6</f>
        <v>1197858</v>
      </c>
      <c r="J55" s="2">
        <f>275504*6</f>
        <v>1653024</v>
      </c>
      <c r="K55" s="2">
        <f>366643*6</f>
        <v>2199858</v>
      </c>
      <c r="L55" s="8">
        <f>475504*6</f>
        <v>2853024</v>
      </c>
    </row>
    <row r="56" spans="1:12" ht="30" x14ac:dyDescent="0.25">
      <c r="A56" s="8"/>
      <c r="B56" s="5" t="s">
        <v>15</v>
      </c>
      <c r="C56" s="6">
        <v>601819576</v>
      </c>
      <c r="D56" s="1" t="s">
        <v>47</v>
      </c>
      <c r="E56" s="2">
        <f>698*6</f>
        <v>4188</v>
      </c>
      <c r="F56" s="2">
        <f>836*6</f>
        <v>5016</v>
      </c>
      <c r="G56" s="2">
        <f t="shared" si="0"/>
        <v>418800</v>
      </c>
      <c r="H56" s="2">
        <f t="shared" si="1"/>
        <v>501600</v>
      </c>
      <c r="I56" s="2">
        <f>185943*6</f>
        <v>1115658</v>
      </c>
      <c r="J56" s="2">
        <f>259104*6</f>
        <v>1554624</v>
      </c>
      <c r="K56" s="2">
        <f>325543*6</f>
        <v>1953258</v>
      </c>
      <c r="L56" s="8">
        <f>426304*6</f>
        <v>2557824</v>
      </c>
    </row>
    <row r="57" spans="1:12" ht="30" x14ac:dyDescent="0.25">
      <c r="A57" s="8"/>
      <c r="B57" s="5" t="s">
        <v>15</v>
      </c>
      <c r="C57" s="6">
        <v>601819680</v>
      </c>
      <c r="D57" s="1" t="s">
        <v>48</v>
      </c>
      <c r="E57" s="2">
        <f>698*6</f>
        <v>4188</v>
      </c>
      <c r="F57" s="2">
        <f>836*6</f>
        <v>5016</v>
      </c>
      <c r="G57" s="2">
        <f t="shared" si="0"/>
        <v>418800</v>
      </c>
      <c r="H57" s="2">
        <f t="shared" si="1"/>
        <v>501600</v>
      </c>
      <c r="I57" s="2">
        <f>185943*6</f>
        <v>1115658</v>
      </c>
      <c r="J57" s="2">
        <f>259104*6</f>
        <v>1554624</v>
      </c>
      <c r="K57" s="2">
        <f>325573*6</f>
        <v>1953438</v>
      </c>
      <c r="L57" s="8">
        <f>426304*6</f>
        <v>2557824</v>
      </c>
    </row>
    <row r="58" spans="1:12" ht="30" x14ac:dyDescent="0.25">
      <c r="A58" s="8"/>
      <c r="B58" s="5" t="s">
        <v>15</v>
      </c>
      <c r="C58" s="6">
        <v>601819697</v>
      </c>
      <c r="D58" s="1" t="s">
        <v>49</v>
      </c>
      <c r="E58" s="2">
        <f>732*6</f>
        <v>4392</v>
      </c>
      <c r="F58" s="2">
        <f>876*6</f>
        <v>5256</v>
      </c>
      <c r="G58" s="2">
        <f t="shared" si="0"/>
        <v>439200</v>
      </c>
      <c r="H58" s="2">
        <f t="shared" si="1"/>
        <v>525600</v>
      </c>
      <c r="I58" s="2">
        <f>189343*6</f>
        <v>1136058</v>
      </c>
      <c r="J58" s="2">
        <f>263104*6</f>
        <v>1578624</v>
      </c>
      <c r="K58" s="2">
        <f>335743*6</f>
        <v>2014458</v>
      </c>
      <c r="L58" s="8">
        <f>438304*6</f>
        <v>2629824</v>
      </c>
    </row>
    <row r="59" spans="1:12" ht="30" x14ac:dyDescent="0.25">
      <c r="A59" s="8"/>
      <c r="B59" s="5" t="s">
        <v>15</v>
      </c>
      <c r="C59" s="6">
        <v>601819711</v>
      </c>
      <c r="D59" s="1" t="s">
        <v>50</v>
      </c>
      <c r="E59" s="2">
        <f>698*6</f>
        <v>4188</v>
      </c>
      <c r="F59" s="2">
        <f>836*6</f>
        <v>5016</v>
      </c>
      <c r="G59" s="2">
        <f t="shared" si="0"/>
        <v>418800</v>
      </c>
      <c r="H59" s="2">
        <f t="shared" si="1"/>
        <v>501600</v>
      </c>
      <c r="I59" s="2">
        <f>185943*6</f>
        <v>1115658</v>
      </c>
      <c r="J59" s="2">
        <f>259104*6</f>
        <v>1554624</v>
      </c>
      <c r="K59" s="2">
        <f>325543*6</f>
        <v>1953258</v>
      </c>
      <c r="L59" s="8">
        <f>426304*6</f>
        <v>2557824</v>
      </c>
    </row>
    <row r="60" spans="1:12" ht="45" x14ac:dyDescent="0.25">
      <c r="A60" s="8"/>
      <c r="B60" s="5" t="s">
        <v>15</v>
      </c>
      <c r="C60" s="6">
        <v>601819770</v>
      </c>
      <c r="D60" s="1" t="s">
        <v>51</v>
      </c>
      <c r="E60" s="2">
        <f>701*6</f>
        <v>4206</v>
      </c>
      <c r="F60" s="2">
        <f>839*6</f>
        <v>5034</v>
      </c>
      <c r="G60" s="2">
        <f t="shared" si="0"/>
        <v>420600</v>
      </c>
      <c r="H60" s="2">
        <f t="shared" si="1"/>
        <v>503400</v>
      </c>
      <c r="I60" s="2">
        <f>186243*6</f>
        <v>1117458</v>
      </c>
      <c r="J60" s="2">
        <f>259404*6</f>
        <v>1556424</v>
      </c>
      <c r="K60" s="2">
        <f>326443*6</f>
        <v>1958658</v>
      </c>
      <c r="L60" s="8">
        <f>427204*6</f>
        <v>2563224</v>
      </c>
    </row>
    <row r="61" spans="1:12" ht="45" x14ac:dyDescent="0.25">
      <c r="A61" s="9"/>
      <c r="B61" s="10" t="s">
        <v>52</v>
      </c>
      <c r="C61" s="7"/>
      <c r="D61" s="11"/>
      <c r="E61" s="12"/>
      <c r="F61" s="12"/>
      <c r="G61" s="12"/>
      <c r="H61" s="12"/>
      <c r="I61" s="12"/>
      <c r="J61" s="12"/>
      <c r="K61" s="12"/>
      <c r="L61" s="9"/>
    </row>
    <row r="62" spans="1:12" x14ac:dyDescent="0.25">
      <c r="A62" s="8"/>
      <c r="B62" s="5"/>
      <c r="C62" s="6">
        <v>601817633</v>
      </c>
      <c r="D62" s="1" t="s">
        <v>53</v>
      </c>
      <c r="E62" s="2">
        <f>1014*6</f>
        <v>6084</v>
      </c>
      <c r="F62" s="2">
        <f>1152*6</f>
        <v>6912</v>
      </c>
      <c r="G62" s="2">
        <f t="shared" si="0"/>
        <v>608400</v>
      </c>
      <c r="H62" s="2">
        <f t="shared" si="1"/>
        <v>691200</v>
      </c>
      <c r="I62" s="2">
        <f>217543*6</f>
        <v>1305258</v>
      </c>
      <c r="J62" s="2">
        <f>290704*6</f>
        <v>1744224</v>
      </c>
      <c r="K62" s="2">
        <f>420343*6</f>
        <v>2522058</v>
      </c>
      <c r="L62" s="8">
        <f>521104*6</f>
        <v>3126624</v>
      </c>
    </row>
    <row r="63" spans="1:12" ht="60" x14ac:dyDescent="0.25">
      <c r="A63" s="8"/>
      <c r="B63" s="5"/>
      <c r="C63" s="6">
        <v>601817581</v>
      </c>
      <c r="D63" s="1" t="s">
        <v>54</v>
      </c>
      <c r="E63" s="2">
        <f>624*6</f>
        <v>3744</v>
      </c>
      <c r="F63" s="2">
        <f>709*6</f>
        <v>4254</v>
      </c>
      <c r="G63" s="2">
        <f t="shared" si="0"/>
        <v>374400</v>
      </c>
      <c r="H63" s="2">
        <f t="shared" si="1"/>
        <v>425400</v>
      </c>
      <c r="I63" s="2">
        <f>178543*6</f>
        <v>1071258</v>
      </c>
      <c r="J63" s="2">
        <f>246404*6</f>
        <v>1478424</v>
      </c>
      <c r="K63" s="2">
        <f>303343*6</f>
        <v>1820058</v>
      </c>
      <c r="L63" s="8">
        <f>388204*6</f>
        <v>2329224</v>
      </c>
    </row>
    <row r="64" spans="1:12" ht="45" x14ac:dyDescent="0.25">
      <c r="A64" s="8"/>
      <c r="B64" s="5" t="s">
        <v>15</v>
      </c>
      <c r="C64" s="6">
        <v>601819312</v>
      </c>
      <c r="D64" s="1" t="s">
        <v>55</v>
      </c>
      <c r="E64" s="2">
        <f>606*6</f>
        <v>3636</v>
      </c>
      <c r="F64" s="2">
        <f>726*6</f>
        <v>4356</v>
      </c>
      <c r="G64" s="2">
        <f t="shared" si="0"/>
        <v>363600</v>
      </c>
      <c r="H64" s="2">
        <f t="shared" si="1"/>
        <v>435600</v>
      </c>
      <c r="I64" s="2">
        <f>176743*6</f>
        <v>1060458</v>
      </c>
      <c r="J64" s="2">
        <f>248104*6</f>
        <v>1488624</v>
      </c>
      <c r="K64" s="2">
        <f>297943*6</f>
        <v>1787658</v>
      </c>
      <c r="L64" s="8">
        <f>393304*6</f>
        <v>2359824</v>
      </c>
    </row>
    <row r="65" spans="1:12" ht="45" x14ac:dyDescent="0.25">
      <c r="A65" s="8"/>
      <c r="B65" s="5"/>
      <c r="C65" s="6">
        <v>601819025</v>
      </c>
      <c r="D65" s="1" t="s">
        <v>56</v>
      </c>
      <c r="E65" s="2">
        <f>676*6</f>
        <v>4056</v>
      </c>
      <c r="F65" s="2">
        <f>771*6</f>
        <v>4626</v>
      </c>
      <c r="G65" s="2">
        <f t="shared" si="0"/>
        <v>405600</v>
      </c>
      <c r="H65" s="2">
        <f t="shared" si="1"/>
        <v>462600</v>
      </c>
      <c r="I65" s="2">
        <f>183743*6</f>
        <v>1102458</v>
      </c>
      <c r="J65" s="2">
        <f>252604*6</f>
        <v>1515624</v>
      </c>
      <c r="K65" s="2">
        <f>318943*6</f>
        <v>1913658</v>
      </c>
      <c r="L65" s="8">
        <f>406804*6</f>
        <v>2440824</v>
      </c>
    </row>
    <row r="66" spans="1:12" ht="30" x14ac:dyDescent="0.25">
      <c r="A66" s="8"/>
      <c r="B66" s="5"/>
      <c r="C66" s="6">
        <v>601817641</v>
      </c>
      <c r="D66" s="1" t="s">
        <v>57</v>
      </c>
      <c r="E66" s="2">
        <f>853*6</f>
        <v>5118</v>
      </c>
      <c r="F66" s="2">
        <f>970*6</f>
        <v>5820</v>
      </c>
      <c r="G66" s="2">
        <f t="shared" si="0"/>
        <v>511800</v>
      </c>
      <c r="H66" s="2">
        <f t="shared" si="1"/>
        <v>582000</v>
      </c>
      <c r="I66" s="2">
        <f>201443*6</f>
        <v>1208658</v>
      </c>
      <c r="J66" s="2">
        <f>272504*6</f>
        <v>1635024</v>
      </c>
      <c r="K66" s="2">
        <f>372043*6</f>
        <v>2232258</v>
      </c>
      <c r="L66" s="8">
        <f>466504*6</f>
        <v>2799024</v>
      </c>
    </row>
    <row r="67" spans="1:12" ht="45" x14ac:dyDescent="0.25">
      <c r="A67" s="8"/>
      <c r="B67" s="5" t="s">
        <v>15</v>
      </c>
      <c r="C67" s="6">
        <v>601819488</v>
      </c>
      <c r="D67" s="1" t="s">
        <v>58</v>
      </c>
      <c r="E67" s="2">
        <f>799*6</f>
        <v>4794</v>
      </c>
      <c r="F67" s="2">
        <f>957*6</f>
        <v>5742</v>
      </c>
      <c r="G67" s="2">
        <f t="shared" si="0"/>
        <v>479400</v>
      </c>
      <c r="H67" s="2">
        <f t="shared" si="1"/>
        <v>574200</v>
      </c>
      <c r="I67" s="2">
        <f>196043*6</f>
        <v>1176258</v>
      </c>
      <c r="J67" s="2">
        <f>271204*6</f>
        <v>1627224</v>
      </c>
      <c r="K67" s="2">
        <f>355843*6</f>
        <v>2135058</v>
      </c>
      <c r="L67" s="8">
        <f>462604*6</f>
        <v>2775624</v>
      </c>
    </row>
    <row r="68" spans="1:12" ht="120" x14ac:dyDescent="0.25">
      <c r="A68" s="8"/>
      <c r="B68" s="5" t="s">
        <v>15</v>
      </c>
      <c r="C68" s="6">
        <v>601819428</v>
      </c>
      <c r="D68" s="1" t="s">
        <v>59</v>
      </c>
      <c r="E68" s="2">
        <f>516*6</f>
        <v>3096</v>
      </c>
      <c r="F68" s="2">
        <f>618*6</f>
        <v>3708</v>
      </c>
      <c r="G68" s="2">
        <f t="shared" si="0"/>
        <v>309600</v>
      </c>
      <c r="H68" s="2">
        <f t="shared" si="1"/>
        <v>370800</v>
      </c>
      <c r="I68" s="2">
        <f>167743*6</f>
        <v>1006458</v>
      </c>
      <c r="J68" s="2">
        <f>237304*6</f>
        <v>1423824</v>
      </c>
      <c r="K68" s="2">
        <f>270943*6</f>
        <v>1625658</v>
      </c>
      <c r="L68" s="8">
        <f>360904*6</f>
        <v>2165424</v>
      </c>
    </row>
    <row r="69" spans="1:12" ht="75" x14ac:dyDescent="0.25">
      <c r="A69" s="8"/>
      <c r="B69" s="5" t="s">
        <v>15</v>
      </c>
      <c r="C69" s="6">
        <v>601819427</v>
      </c>
      <c r="D69" s="1" t="s">
        <v>60</v>
      </c>
      <c r="E69" s="2">
        <f>549*6</f>
        <v>3294</v>
      </c>
      <c r="F69" s="2">
        <f>658*6</f>
        <v>3948</v>
      </c>
      <c r="G69" s="2">
        <f t="shared" si="0"/>
        <v>329400</v>
      </c>
      <c r="H69" s="2">
        <f t="shared" si="1"/>
        <v>394800</v>
      </c>
      <c r="I69" s="2">
        <f>171043*6</f>
        <v>1026258</v>
      </c>
      <c r="J69" s="2">
        <f>241304*6</f>
        <v>1447824</v>
      </c>
      <c r="K69" s="2">
        <f>280843*6</f>
        <v>1685058</v>
      </c>
      <c r="L69" s="8">
        <f>372904*6</f>
        <v>2237424</v>
      </c>
    </row>
    <row r="70" spans="1:12" ht="120" x14ac:dyDescent="0.25">
      <c r="A70" s="8"/>
      <c r="B70" s="5" t="s">
        <v>15</v>
      </c>
      <c r="C70" s="6">
        <v>601819520</v>
      </c>
      <c r="D70" s="1" t="s">
        <v>61</v>
      </c>
      <c r="E70" s="2">
        <f>954*6</f>
        <v>5724</v>
      </c>
      <c r="F70" s="2">
        <f>1143*6</f>
        <v>6858</v>
      </c>
      <c r="G70" s="2">
        <f t="shared" si="0"/>
        <v>572400</v>
      </c>
      <c r="H70" s="2">
        <f t="shared" si="1"/>
        <v>685800</v>
      </c>
      <c r="I70" s="2">
        <f>211543*6</f>
        <v>1269258</v>
      </c>
      <c r="J70" s="2">
        <f>289804*6</f>
        <v>1738824</v>
      </c>
      <c r="K70" s="2">
        <f>402343*6</f>
        <v>2414058</v>
      </c>
      <c r="L70" s="8">
        <f>518404*6</f>
        <v>3110424</v>
      </c>
    </row>
    <row r="71" spans="1:12" ht="30" x14ac:dyDescent="0.25">
      <c r="A71" s="8"/>
      <c r="B71" s="5" t="s">
        <v>15</v>
      </c>
      <c r="C71" s="6">
        <v>601819309</v>
      </c>
      <c r="D71" s="1" t="s">
        <v>62</v>
      </c>
      <c r="E71" s="2">
        <f>693*6</f>
        <v>4158</v>
      </c>
      <c r="F71" s="2">
        <f>832*6</f>
        <v>4992</v>
      </c>
      <c r="G71" s="2">
        <f t="shared" si="0"/>
        <v>415800</v>
      </c>
      <c r="H71" s="2">
        <f t="shared" si="1"/>
        <v>499200</v>
      </c>
      <c r="I71" s="2">
        <f>185443*6</f>
        <v>1112658</v>
      </c>
      <c r="J71" s="2">
        <f>258704*6</f>
        <v>1552224</v>
      </c>
      <c r="K71" s="2">
        <f>324043*6</f>
        <v>1944258</v>
      </c>
      <c r="L71" s="8">
        <f>425104*6</f>
        <v>2550624</v>
      </c>
    </row>
    <row r="72" spans="1:12" ht="45" x14ac:dyDescent="0.25">
      <c r="A72" s="8"/>
      <c r="B72" s="5"/>
      <c r="C72" s="6">
        <v>601817639</v>
      </c>
      <c r="D72" s="1" t="s">
        <v>63</v>
      </c>
      <c r="E72" s="2">
        <f>537*6</f>
        <v>3222</v>
      </c>
      <c r="F72" s="2">
        <f>610*6</f>
        <v>3660</v>
      </c>
      <c r="G72" s="2">
        <f t="shared" si="0"/>
        <v>322200</v>
      </c>
      <c r="H72" s="2">
        <f t="shared" si="1"/>
        <v>366000</v>
      </c>
      <c r="I72" s="2">
        <f>169843*6</f>
        <v>1019058</v>
      </c>
      <c r="J72" s="2">
        <f>236504*6</f>
        <v>1419024</v>
      </c>
      <c r="K72" s="2">
        <f>277243*6</f>
        <v>1663458</v>
      </c>
      <c r="L72" s="8">
        <f>358504*6</f>
        <v>2151024</v>
      </c>
    </row>
    <row r="73" spans="1:12" ht="30" x14ac:dyDescent="0.25">
      <c r="A73" s="8"/>
      <c r="B73" s="5"/>
      <c r="C73" s="6">
        <v>601819038</v>
      </c>
      <c r="D73" s="1" t="s">
        <v>64</v>
      </c>
      <c r="E73" s="2">
        <f>676*6</f>
        <v>4056</v>
      </c>
      <c r="F73" s="2">
        <f>771*6</f>
        <v>4626</v>
      </c>
      <c r="G73" s="2">
        <f t="shared" si="0"/>
        <v>405600</v>
      </c>
      <c r="H73" s="2">
        <f t="shared" si="1"/>
        <v>462600</v>
      </c>
      <c r="I73" s="2">
        <f>183743*6</f>
        <v>1102458</v>
      </c>
      <c r="J73" s="2">
        <f>252604*6</f>
        <v>1515624</v>
      </c>
      <c r="K73" s="2">
        <f>318943*6</f>
        <v>1913658</v>
      </c>
      <c r="L73" s="8">
        <f>406804*6</f>
        <v>2440824</v>
      </c>
    </row>
    <row r="74" spans="1:12" ht="30" x14ac:dyDescent="0.25">
      <c r="A74" s="8"/>
      <c r="B74" s="5"/>
      <c r="C74" s="6">
        <v>601819039</v>
      </c>
      <c r="D74" s="1" t="s">
        <v>65</v>
      </c>
      <c r="E74" s="2">
        <f>676*6</f>
        <v>4056</v>
      </c>
      <c r="F74" s="2">
        <f>771*6</f>
        <v>4626</v>
      </c>
      <c r="G74" s="2">
        <f t="shared" si="0"/>
        <v>405600</v>
      </c>
      <c r="H74" s="2">
        <f t="shared" si="1"/>
        <v>462600</v>
      </c>
      <c r="I74" s="2">
        <f>183743*6</f>
        <v>1102458</v>
      </c>
      <c r="J74" s="2">
        <f>252604*6</f>
        <v>1515624</v>
      </c>
      <c r="K74" s="2">
        <f>318943*6</f>
        <v>1913658</v>
      </c>
      <c r="L74" s="8">
        <f>406804*6</f>
        <v>2440824</v>
      </c>
    </row>
    <row r="75" spans="1:12" ht="30" x14ac:dyDescent="0.25">
      <c r="A75" s="8"/>
      <c r="B75" s="5"/>
      <c r="C75" s="6">
        <v>601819040</v>
      </c>
      <c r="D75" s="1" t="s">
        <v>66</v>
      </c>
      <c r="E75" s="2">
        <f>814*6</f>
        <v>4884</v>
      </c>
      <c r="F75" s="2">
        <f>925*6</f>
        <v>5550</v>
      </c>
      <c r="G75" s="2">
        <f t="shared" si="0"/>
        <v>488400</v>
      </c>
      <c r="H75" s="2">
        <f t="shared" si="1"/>
        <v>555000</v>
      </c>
      <c r="I75" s="2">
        <f>197543*6</f>
        <v>1185258</v>
      </c>
      <c r="J75" s="2">
        <f>268004*6</f>
        <v>1608024</v>
      </c>
      <c r="K75" s="2">
        <f>360343*6</f>
        <v>2162058</v>
      </c>
      <c r="L75" s="8">
        <f>453004*6</f>
        <v>2718024</v>
      </c>
    </row>
    <row r="76" spans="1:12" ht="30" x14ac:dyDescent="0.25">
      <c r="A76" s="8"/>
      <c r="B76" s="5" t="s">
        <v>15</v>
      </c>
      <c r="C76" s="6">
        <v>601819552</v>
      </c>
      <c r="D76" s="1" t="s">
        <v>67</v>
      </c>
      <c r="E76" s="2">
        <f>766*6</f>
        <v>4596</v>
      </c>
      <c r="F76" s="2">
        <f>916</f>
        <v>916</v>
      </c>
      <c r="G76" s="2">
        <f t="shared" ref="G76:G139" si="2">E76*100</f>
        <v>459600</v>
      </c>
      <c r="H76" s="2">
        <f t="shared" ref="H76:H139" si="3">F76*100</f>
        <v>91600</v>
      </c>
      <c r="I76" s="2">
        <f>192743*6</f>
        <v>1156458</v>
      </c>
      <c r="J76" s="2">
        <f>267104*6</f>
        <v>1602624</v>
      </c>
      <c r="K76" s="2">
        <f>345943*6</f>
        <v>2075658</v>
      </c>
      <c r="L76" s="8">
        <f>450304*6</f>
        <v>2701824</v>
      </c>
    </row>
    <row r="77" spans="1:12" ht="30" x14ac:dyDescent="0.25">
      <c r="A77" s="8"/>
      <c r="B77" s="5" t="s">
        <v>15</v>
      </c>
      <c r="C77" s="6">
        <v>601819550</v>
      </c>
      <c r="D77" s="1" t="s">
        <v>68</v>
      </c>
      <c r="E77" s="2">
        <f>872*6</f>
        <v>5232</v>
      </c>
      <c r="F77" s="2">
        <f>1044*6</f>
        <v>6264</v>
      </c>
      <c r="G77" s="2">
        <f t="shared" si="2"/>
        <v>523200</v>
      </c>
      <c r="H77" s="2">
        <f t="shared" si="3"/>
        <v>626400</v>
      </c>
      <c r="I77" s="2">
        <f>203343*6</f>
        <v>1220058</v>
      </c>
      <c r="J77" s="2">
        <f>279904*6</f>
        <v>1679424</v>
      </c>
      <c r="K77" s="2">
        <f>377743*6</f>
        <v>2266458</v>
      </c>
      <c r="L77" s="8">
        <f>488704*6</f>
        <v>2932224</v>
      </c>
    </row>
    <row r="78" spans="1:12" ht="60" x14ac:dyDescent="0.25">
      <c r="A78" s="8"/>
      <c r="B78" s="5"/>
      <c r="C78" s="6">
        <v>601817640</v>
      </c>
      <c r="D78" s="1" t="s">
        <v>69</v>
      </c>
      <c r="E78" s="2">
        <f>657*6</f>
        <v>3942</v>
      </c>
      <c r="F78" s="2">
        <f>746*6</f>
        <v>4476</v>
      </c>
      <c r="G78" s="2">
        <f t="shared" si="2"/>
        <v>394200</v>
      </c>
      <c r="H78" s="2">
        <f t="shared" si="3"/>
        <v>447600</v>
      </c>
      <c r="I78" s="2">
        <f>181843*6</f>
        <v>1091058</v>
      </c>
      <c r="J78" s="2">
        <f>250104*6</f>
        <v>1500624</v>
      </c>
      <c r="K78" s="2">
        <f>313243*6</f>
        <v>1879458</v>
      </c>
      <c r="L78" s="8">
        <f>399304*6</f>
        <v>2395824</v>
      </c>
    </row>
    <row r="79" spans="1:12" ht="60" x14ac:dyDescent="0.25">
      <c r="A79" s="8"/>
      <c r="B79" s="5"/>
      <c r="C79" s="6">
        <v>601817634</v>
      </c>
      <c r="D79" s="1" t="s">
        <v>70</v>
      </c>
      <c r="E79" s="2">
        <f>557*6</f>
        <v>3342</v>
      </c>
      <c r="F79" s="2">
        <f>632*6</f>
        <v>3792</v>
      </c>
      <c r="G79" s="2">
        <f t="shared" si="2"/>
        <v>334200</v>
      </c>
      <c r="H79" s="2">
        <f t="shared" si="3"/>
        <v>379200</v>
      </c>
      <c r="I79" s="2">
        <f>171843*6</f>
        <v>1031058</v>
      </c>
      <c r="J79" s="2">
        <f>238704*6</f>
        <v>1432224</v>
      </c>
      <c r="K79" s="2">
        <f>283243*6</f>
        <v>1699458</v>
      </c>
      <c r="L79" s="8">
        <f>365104*6</f>
        <v>2190624</v>
      </c>
    </row>
    <row r="80" spans="1:12" ht="30" x14ac:dyDescent="0.25">
      <c r="A80" s="8"/>
      <c r="B80" s="5"/>
      <c r="C80" s="6">
        <v>601817638</v>
      </c>
      <c r="D80" s="1" t="s">
        <v>71</v>
      </c>
      <c r="E80" s="2">
        <f>576*6</f>
        <v>3456</v>
      </c>
      <c r="F80" s="2">
        <f>654*6</f>
        <v>3924</v>
      </c>
      <c r="G80" s="2">
        <f t="shared" si="2"/>
        <v>345600</v>
      </c>
      <c r="H80" s="2">
        <f t="shared" si="3"/>
        <v>392400</v>
      </c>
      <c r="I80" s="2">
        <f>173743*6</f>
        <v>1042458</v>
      </c>
      <c r="J80" s="2">
        <f>240904*6</f>
        <v>1445424</v>
      </c>
      <c r="K80" s="2">
        <f>288943*6</f>
        <v>1733658</v>
      </c>
      <c r="L80" s="8">
        <f>371704*6</f>
        <v>2230224</v>
      </c>
    </row>
    <row r="81" spans="1:12" ht="30" x14ac:dyDescent="0.25">
      <c r="A81" s="8"/>
      <c r="B81" s="5" t="s">
        <v>15</v>
      </c>
      <c r="C81" s="6">
        <v>601819501</v>
      </c>
      <c r="D81" s="1" t="s">
        <v>72</v>
      </c>
      <c r="E81" s="2">
        <f>851*6</f>
        <v>5106</v>
      </c>
      <c r="F81" s="2">
        <f>1019*6</f>
        <v>6114</v>
      </c>
      <c r="G81" s="2">
        <f t="shared" si="2"/>
        <v>510600</v>
      </c>
      <c r="H81" s="2">
        <f t="shared" si="3"/>
        <v>611400</v>
      </c>
      <c r="I81" s="2">
        <f>201243*6</f>
        <v>1207458</v>
      </c>
      <c r="J81" s="2">
        <f>277404*6</f>
        <v>1664424</v>
      </c>
      <c r="K81" s="2">
        <f>371443*6</f>
        <v>2228658</v>
      </c>
      <c r="L81" s="8">
        <f>481204*6</f>
        <v>2887224</v>
      </c>
    </row>
    <row r="82" spans="1:12" ht="45" x14ac:dyDescent="0.25">
      <c r="A82" s="8"/>
      <c r="B82" s="5"/>
      <c r="C82" s="6">
        <v>601817691</v>
      </c>
      <c r="D82" s="1" t="s">
        <v>73</v>
      </c>
      <c r="E82" s="2">
        <f>676*6</f>
        <v>4056</v>
      </c>
      <c r="F82" s="2">
        <f>771*6</f>
        <v>4626</v>
      </c>
      <c r="G82" s="2">
        <f t="shared" si="2"/>
        <v>405600</v>
      </c>
      <c r="H82" s="2">
        <f t="shared" si="3"/>
        <v>462600</v>
      </c>
      <c r="I82" s="2">
        <f>183743*6</f>
        <v>1102458</v>
      </c>
      <c r="J82" s="2">
        <f>252604*6</f>
        <v>1515624</v>
      </c>
      <c r="K82" s="2">
        <f>318943*6</f>
        <v>1913658</v>
      </c>
      <c r="L82" s="8">
        <f>406804*6</f>
        <v>2440824</v>
      </c>
    </row>
    <row r="83" spans="1:12" ht="45" x14ac:dyDescent="0.25">
      <c r="A83" s="8"/>
      <c r="B83" s="5"/>
      <c r="C83" s="6">
        <v>601817656</v>
      </c>
      <c r="D83" s="1" t="s">
        <v>74</v>
      </c>
      <c r="E83" s="2">
        <f>676*6</f>
        <v>4056</v>
      </c>
      <c r="F83" s="2">
        <f>771*6</f>
        <v>4626</v>
      </c>
      <c r="G83" s="2">
        <f t="shared" si="2"/>
        <v>405600</v>
      </c>
      <c r="H83" s="2">
        <f t="shared" si="3"/>
        <v>462600</v>
      </c>
      <c r="I83" s="2">
        <f>183743*6</f>
        <v>1102458</v>
      </c>
      <c r="J83" s="2">
        <f>252604*6</f>
        <v>1515624</v>
      </c>
      <c r="K83" s="2">
        <f>318943*6</f>
        <v>1913658</v>
      </c>
      <c r="L83" s="8">
        <f>406804*6</f>
        <v>2440824</v>
      </c>
    </row>
    <row r="84" spans="1:12" ht="45" x14ac:dyDescent="0.25">
      <c r="A84" s="8"/>
      <c r="B84" s="5" t="s">
        <v>15</v>
      </c>
      <c r="C84" s="6">
        <v>601819512</v>
      </c>
      <c r="D84" s="1" t="s">
        <v>75</v>
      </c>
      <c r="E84" s="2">
        <f>553*6</f>
        <v>3318</v>
      </c>
      <c r="F84" s="2">
        <f>662*6</f>
        <v>3972</v>
      </c>
      <c r="G84" s="2">
        <f t="shared" si="2"/>
        <v>331800</v>
      </c>
      <c r="H84" s="2">
        <f t="shared" si="3"/>
        <v>397200</v>
      </c>
      <c r="I84" s="2">
        <f>171443*6</f>
        <v>1028658</v>
      </c>
      <c r="J84" s="2">
        <f>241704*6</f>
        <v>1450224</v>
      </c>
      <c r="K84" s="2">
        <f>282043*6</f>
        <v>1692258</v>
      </c>
      <c r="L84" s="8">
        <f>374104*6</f>
        <v>2244624</v>
      </c>
    </row>
    <row r="85" spans="1:12" ht="30" x14ac:dyDescent="0.25">
      <c r="A85" s="8"/>
      <c r="B85" s="5" t="s">
        <v>15</v>
      </c>
      <c r="C85" s="6">
        <v>601819310</v>
      </c>
      <c r="D85" s="1" t="s">
        <v>76</v>
      </c>
      <c r="E85" s="2">
        <f>416*6</f>
        <v>2496</v>
      </c>
      <c r="F85" s="2">
        <f>499*6</f>
        <v>2994</v>
      </c>
      <c r="G85" s="2">
        <f t="shared" si="2"/>
        <v>249600</v>
      </c>
      <c r="H85" s="2">
        <f t="shared" si="3"/>
        <v>299400</v>
      </c>
      <c r="I85" s="2">
        <f>157743*6</f>
        <v>946458</v>
      </c>
      <c r="J85" s="2">
        <f>225404*6</f>
        <v>1352424</v>
      </c>
      <c r="K85" s="2">
        <f>240943*6</f>
        <v>1445658</v>
      </c>
      <c r="L85" s="8">
        <f>325204*6</f>
        <v>1951224</v>
      </c>
    </row>
    <row r="86" spans="1:12" ht="45" x14ac:dyDescent="0.25">
      <c r="A86" s="8"/>
      <c r="B86" s="5"/>
      <c r="C86" s="6">
        <v>601819024</v>
      </c>
      <c r="D86" s="1" t="s">
        <v>77</v>
      </c>
      <c r="E86" s="2">
        <f>676*6</f>
        <v>4056</v>
      </c>
      <c r="F86" s="2">
        <f>771*6</f>
        <v>4626</v>
      </c>
      <c r="G86" s="2">
        <f t="shared" si="2"/>
        <v>405600</v>
      </c>
      <c r="H86" s="2">
        <f t="shared" si="3"/>
        <v>462600</v>
      </c>
      <c r="I86" s="2">
        <f>183743*6</f>
        <v>1102458</v>
      </c>
      <c r="J86" s="2">
        <f>252604*6</f>
        <v>1515624</v>
      </c>
      <c r="K86" s="2">
        <f>318943*6</f>
        <v>1913658</v>
      </c>
      <c r="L86" s="8">
        <f>406804*6</f>
        <v>2440824</v>
      </c>
    </row>
    <row r="87" spans="1:12" ht="30" x14ac:dyDescent="0.25">
      <c r="A87" s="8"/>
      <c r="B87" s="5" t="s">
        <v>15</v>
      </c>
      <c r="C87" s="6">
        <v>601819478</v>
      </c>
      <c r="D87" s="1" t="s">
        <v>78</v>
      </c>
      <c r="E87" s="2">
        <f>701*6</f>
        <v>4206</v>
      </c>
      <c r="F87" s="2">
        <f>839*6</f>
        <v>5034</v>
      </c>
      <c r="G87" s="2">
        <f t="shared" si="2"/>
        <v>420600</v>
      </c>
      <c r="H87" s="2">
        <f t="shared" si="3"/>
        <v>503400</v>
      </c>
      <c r="I87" s="2">
        <f>186243*6</f>
        <v>1117458</v>
      </c>
      <c r="J87" s="2">
        <f>259404*6</f>
        <v>1556424</v>
      </c>
      <c r="K87" s="2">
        <f>326443*6</f>
        <v>1958658</v>
      </c>
      <c r="L87" s="8">
        <f>427204*6</f>
        <v>2563224</v>
      </c>
    </row>
    <row r="88" spans="1:12" ht="45" x14ac:dyDescent="0.25">
      <c r="A88" s="8"/>
      <c r="B88" s="5"/>
      <c r="C88" s="6">
        <v>601817395</v>
      </c>
      <c r="D88" s="1" t="s">
        <v>79</v>
      </c>
      <c r="E88" s="2">
        <f>358*6</f>
        <v>2148</v>
      </c>
      <c r="F88" s="2">
        <f>406*6</f>
        <v>2436</v>
      </c>
      <c r="G88" s="2">
        <f t="shared" si="2"/>
        <v>214800</v>
      </c>
      <c r="H88" s="2">
        <f t="shared" si="3"/>
        <v>243600</v>
      </c>
      <c r="I88" s="2">
        <f>151943*6</f>
        <v>911658</v>
      </c>
      <c r="J88" s="2">
        <f>216104*6</f>
        <v>1296624</v>
      </c>
      <c r="K88" s="2">
        <f>223543*6</f>
        <v>1341258</v>
      </c>
      <c r="L88" s="8">
        <f>297304*6</f>
        <v>1783824</v>
      </c>
    </row>
    <row r="89" spans="1:12" ht="120" x14ac:dyDescent="0.25">
      <c r="A89" s="8"/>
      <c r="B89" s="5" t="s">
        <v>15</v>
      </c>
      <c r="C89" s="6">
        <v>601819599</v>
      </c>
      <c r="D89" s="1" t="s">
        <v>80</v>
      </c>
      <c r="E89" s="2">
        <f>559*6</f>
        <v>3354</v>
      </c>
      <c r="F89" s="2">
        <f>670*6</f>
        <v>4020</v>
      </c>
      <c r="G89" s="2">
        <f t="shared" si="2"/>
        <v>335400</v>
      </c>
      <c r="H89" s="2">
        <f t="shared" si="3"/>
        <v>402000</v>
      </c>
      <c r="I89" s="2">
        <f>172043*6</f>
        <v>1032258</v>
      </c>
      <c r="J89" s="2">
        <f>242504*6</f>
        <v>1455024</v>
      </c>
      <c r="K89" s="2">
        <f>283843*6</f>
        <v>1703058</v>
      </c>
      <c r="L89" s="8">
        <f>376504*6</f>
        <v>2259024</v>
      </c>
    </row>
    <row r="90" spans="1:12" ht="30" x14ac:dyDescent="0.25">
      <c r="A90" s="8"/>
      <c r="B90" s="5" t="s">
        <v>15</v>
      </c>
      <c r="C90" s="6">
        <v>601819678</v>
      </c>
      <c r="D90" s="1" t="s">
        <v>81</v>
      </c>
      <c r="E90" s="2">
        <f>516*6</f>
        <v>3096</v>
      </c>
      <c r="F90" s="2">
        <f>618*6</f>
        <v>3708</v>
      </c>
      <c r="G90" s="2">
        <f t="shared" si="2"/>
        <v>309600</v>
      </c>
      <c r="H90" s="2">
        <f t="shared" si="3"/>
        <v>370800</v>
      </c>
      <c r="I90" s="2">
        <f>167743*6</f>
        <v>1006458</v>
      </c>
      <c r="J90" s="2">
        <f>237304*6</f>
        <v>1423824</v>
      </c>
      <c r="K90" s="2">
        <f>270943*6</f>
        <v>1625658</v>
      </c>
      <c r="L90" s="8">
        <f>360904*6</f>
        <v>2165424</v>
      </c>
    </row>
    <row r="91" spans="1:12" ht="45" x14ac:dyDescent="0.25">
      <c r="A91" s="8"/>
      <c r="B91" s="5" t="s">
        <v>15</v>
      </c>
      <c r="C91" s="6">
        <v>601819679</v>
      </c>
      <c r="D91" s="1" t="s">
        <v>82</v>
      </c>
      <c r="E91" s="2">
        <f>724*6</f>
        <v>4344</v>
      </c>
      <c r="F91" s="2">
        <f>867*6</f>
        <v>5202</v>
      </c>
      <c r="G91" s="2">
        <f t="shared" si="2"/>
        <v>434400</v>
      </c>
      <c r="H91" s="2">
        <f t="shared" si="3"/>
        <v>520200</v>
      </c>
      <c r="I91" s="2">
        <f>188543*6</f>
        <v>1131258</v>
      </c>
      <c r="J91" s="2">
        <f>262204*6</f>
        <v>1573224</v>
      </c>
      <c r="K91" s="2">
        <f>333343*6</f>
        <v>2000058</v>
      </c>
      <c r="L91" s="8">
        <f>435604*6</f>
        <v>2613624</v>
      </c>
    </row>
    <row r="92" spans="1:12" ht="45" x14ac:dyDescent="0.25">
      <c r="A92" s="8"/>
      <c r="B92" s="5" t="s">
        <v>15</v>
      </c>
      <c r="C92" s="6">
        <v>601819696</v>
      </c>
      <c r="D92" s="1" t="s">
        <v>83</v>
      </c>
      <c r="E92" s="2">
        <f>332*6</f>
        <v>1992</v>
      </c>
      <c r="F92" s="2">
        <f>398*6</f>
        <v>2388</v>
      </c>
      <c r="G92" s="2">
        <f t="shared" si="2"/>
        <v>199200</v>
      </c>
      <c r="H92" s="2">
        <f t="shared" si="3"/>
        <v>238800</v>
      </c>
      <c r="I92" s="2">
        <f>149343*6</f>
        <v>896058</v>
      </c>
      <c r="J92" s="2">
        <f>215304*6</f>
        <v>1291824</v>
      </c>
      <c r="K92" s="2">
        <f>215743*6</f>
        <v>1294458</v>
      </c>
      <c r="L92" s="8">
        <f>294904*6</f>
        <v>1769424</v>
      </c>
    </row>
    <row r="93" spans="1:12" ht="30" x14ac:dyDescent="0.25">
      <c r="A93" s="8"/>
      <c r="B93" s="5" t="s">
        <v>15</v>
      </c>
      <c r="C93" s="6">
        <v>601819710</v>
      </c>
      <c r="D93" s="1" t="s">
        <v>84</v>
      </c>
      <c r="E93" s="2">
        <f>698*6</f>
        <v>4188</v>
      </c>
      <c r="F93" s="2">
        <f>836*6</f>
        <v>5016</v>
      </c>
      <c r="G93" s="2">
        <f t="shared" si="2"/>
        <v>418800</v>
      </c>
      <c r="H93" s="2">
        <f t="shared" si="3"/>
        <v>501600</v>
      </c>
      <c r="I93" s="2">
        <f>185943*6</f>
        <v>1115658</v>
      </c>
      <c r="J93" s="2">
        <f>259104*6</f>
        <v>1554624</v>
      </c>
      <c r="K93" s="2">
        <f>325543*6</f>
        <v>1953258</v>
      </c>
      <c r="L93" s="8">
        <f>426304*6</f>
        <v>2557824</v>
      </c>
    </row>
    <row r="94" spans="1:12" ht="45" x14ac:dyDescent="0.25">
      <c r="A94" s="9"/>
      <c r="B94" s="10" t="s">
        <v>85</v>
      </c>
      <c r="C94" s="7"/>
      <c r="D94" s="11"/>
      <c r="E94" s="12"/>
      <c r="F94" s="12"/>
      <c r="G94" s="12"/>
      <c r="H94" s="12"/>
      <c r="I94" s="12"/>
      <c r="J94" s="12"/>
      <c r="K94" s="12"/>
      <c r="L94" s="9"/>
    </row>
    <row r="95" spans="1:12" ht="30" x14ac:dyDescent="0.25">
      <c r="A95" s="8"/>
      <c r="B95" s="5" t="s">
        <v>15</v>
      </c>
      <c r="C95" s="6">
        <v>601819300</v>
      </c>
      <c r="D95" s="1" t="s">
        <v>86</v>
      </c>
      <c r="E95" s="2">
        <f>714*6</f>
        <v>4284</v>
      </c>
      <c r="F95" s="2">
        <f>812*6</f>
        <v>4872</v>
      </c>
      <c r="G95" s="2">
        <f t="shared" si="2"/>
        <v>428400</v>
      </c>
      <c r="H95" s="2">
        <f t="shared" si="3"/>
        <v>487200</v>
      </c>
      <c r="I95" s="2">
        <f>187543*6</f>
        <v>1125258</v>
      </c>
      <c r="J95" s="2">
        <f>256704*6</f>
        <v>1540224</v>
      </c>
      <c r="K95" s="2">
        <f>330343*6</f>
        <v>1982058</v>
      </c>
      <c r="L95" s="8">
        <f>419104*6</f>
        <v>2514624</v>
      </c>
    </row>
    <row r="96" spans="1:12" ht="45" x14ac:dyDescent="0.25">
      <c r="A96" s="8"/>
      <c r="B96" s="5"/>
      <c r="C96" s="6">
        <v>601817649</v>
      </c>
      <c r="D96" s="1" t="s">
        <v>20</v>
      </c>
      <c r="E96" s="2">
        <f>805*6</f>
        <v>4830</v>
      </c>
      <c r="F96" s="2">
        <f>915*6</f>
        <v>5490</v>
      </c>
      <c r="G96" s="2">
        <f t="shared" si="2"/>
        <v>483000</v>
      </c>
      <c r="H96" s="2">
        <f t="shared" si="3"/>
        <v>549000</v>
      </c>
      <c r="I96" s="2">
        <f>196643*6</f>
        <v>1179858</v>
      </c>
      <c r="J96" s="2">
        <f>267004*6</f>
        <v>1602024</v>
      </c>
      <c r="K96" s="2">
        <f>357643*6</f>
        <v>2145858</v>
      </c>
      <c r="L96" s="8">
        <f>450004*6</f>
        <v>2700024</v>
      </c>
    </row>
    <row r="97" spans="1:12" ht="45" x14ac:dyDescent="0.25">
      <c r="A97" s="8"/>
      <c r="B97" s="5" t="s">
        <v>15</v>
      </c>
      <c r="C97" s="6">
        <v>601819315</v>
      </c>
      <c r="D97" s="1" t="s">
        <v>87</v>
      </c>
      <c r="E97" s="2">
        <f>805*6</f>
        <v>4830</v>
      </c>
      <c r="F97" s="2">
        <f>915*6</f>
        <v>5490</v>
      </c>
      <c r="G97" s="2">
        <f t="shared" si="2"/>
        <v>483000</v>
      </c>
      <c r="H97" s="2">
        <f t="shared" si="3"/>
        <v>549000</v>
      </c>
      <c r="I97" s="2">
        <f>196643*6</f>
        <v>1179858</v>
      </c>
      <c r="J97" s="2">
        <f>267004*6</f>
        <v>1602024</v>
      </c>
      <c r="K97" s="2">
        <f>357643*6</f>
        <v>2145858</v>
      </c>
      <c r="L97" s="8">
        <f>450004*6</f>
        <v>2700024</v>
      </c>
    </row>
    <row r="98" spans="1:12" ht="30" x14ac:dyDescent="0.25">
      <c r="A98" s="8"/>
      <c r="B98" s="5"/>
      <c r="C98" s="6">
        <v>601817582</v>
      </c>
      <c r="D98" s="1" t="s">
        <v>88</v>
      </c>
      <c r="E98" s="2">
        <f>483*6</f>
        <v>2898</v>
      </c>
      <c r="F98" s="2">
        <f>549*6</f>
        <v>3294</v>
      </c>
      <c r="G98" s="2">
        <f t="shared" si="2"/>
        <v>289800</v>
      </c>
      <c r="H98" s="2">
        <f t="shared" si="3"/>
        <v>329400</v>
      </c>
      <c r="I98" s="2">
        <f>164443*6</f>
        <v>986658</v>
      </c>
      <c r="J98" s="2">
        <f>230404*6</f>
        <v>1382424</v>
      </c>
      <c r="K98" s="2">
        <f>261043*6</f>
        <v>1566258</v>
      </c>
      <c r="L98" s="8">
        <f>340204*6</f>
        <v>2041224</v>
      </c>
    </row>
    <row r="99" spans="1:12" ht="30" x14ac:dyDescent="0.25">
      <c r="A99" s="8"/>
      <c r="B99" s="5"/>
      <c r="C99" s="6">
        <v>601817583</v>
      </c>
      <c r="D99" s="1" t="s">
        <v>89</v>
      </c>
      <c r="E99" s="2">
        <f>392*6</f>
        <v>2352</v>
      </c>
      <c r="F99" s="2">
        <f>445*6</f>
        <v>2670</v>
      </c>
      <c r="G99" s="2">
        <f t="shared" si="2"/>
        <v>235200</v>
      </c>
      <c r="H99" s="2">
        <f t="shared" si="3"/>
        <v>267000</v>
      </c>
      <c r="I99" s="2">
        <f>155343*6</f>
        <v>932058</v>
      </c>
      <c r="J99" s="2">
        <f>220004*6</f>
        <v>1320024</v>
      </c>
      <c r="K99" s="2">
        <f>233743*6</f>
        <v>1402458</v>
      </c>
      <c r="L99" s="8">
        <f>309004*6</f>
        <v>1854024</v>
      </c>
    </row>
    <row r="100" spans="1:12" ht="30" x14ac:dyDescent="0.25">
      <c r="A100" s="8"/>
      <c r="B100" s="5"/>
      <c r="C100" s="6">
        <v>601817584</v>
      </c>
      <c r="D100" s="1" t="s">
        <v>90</v>
      </c>
      <c r="E100" s="2">
        <f>620*6</f>
        <v>3720</v>
      </c>
      <c r="F100" s="2">
        <f>703*6</f>
        <v>4218</v>
      </c>
      <c r="G100" s="2">
        <f t="shared" si="2"/>
        <v>372000</v>
      </c>
      <c r="H100" s="2">
        <f t="shared" si="3"/>
        <v>421800</v>
      </c>
      <c r="I100" s="2">
        <f>178143*6</f>
        <v>1068858</v>
      </c>
      <c r="J100" s="2">
        <f>245804*6</f>
        <v>1474824</v>
      </c>
      <c r="K100" s="2">
        <f>302143*6</f>
        <v>1812858</v>
      </c>
      <c r="L100" s="8">
        <f>386404*6</f>
        <v>2318424</v>
      </c>
    </row>
    <row r="101" spans="1:12" ht="30" x14ac:dyDescent="0.25">
      <c r="A101" s="8"/>
      <c r="B101" s="5"/>
      <c r="C101" s="6">
        <v>601817585</v>
      </c>
      <c r="D101" s="1" t="s">
        <v>91</v>
      </c>
      <c r="E101" s="2">
        <f>468*6</f>
        <v>2808</v>
      </c>
      <c r="F101" s="2">
        <f>532*6</f>
        <v>3192</v>
      </c>
      <c r="G101" s="2">
        <f t="shared" si="2"/>
        <v>280800</v>
      </c>
      <c r="H101" s="2">
        <f t="shared" si="3"/>
        <v>319200</v>
      </c>
      <c r="I101" s="2">
        <f>162943*6</f>
        <v>977658</v>
      </c>
      <c r="J101" s="2">
        <f>228704*6</f>
        <v>1372224</v>
      </c>
      <c r="K101" s="2">
        <f>256543*6</f>
        <v>1539258</v>
      </c>
      <c r="L101" s="8">
        <f>335104*6</f>
        <v>2010624</v>
      </c>
    </row>
    <row r="102" spans="1:12" ht="30" x14ac:dyDescent="0.25">
      <c r="A102" s="8"/>
      <c r="B102" s="5" t="s">
        <v>15</v>
      </c>
      <c r="C102" s="6">
        <v>601819319</v>
      </c>
      <c r="D102" s="1" t="s">
        <v>92</v>
      </c>
      <c r="E102" s="2">
        <f>656*6</f>
        <v>3936</v>
      </c>
      <c r="F102" s="2">
        <f>786*6</f>
        <v>4716</v>
      </c>
      <c r="G102" s="2">
        <f t="shared" si="2"/>
        <v>393600</v>
      </c>
      <c r="H102" s="2">
        <f t="shared" si="3"/>
        <v>471600</v>
      </c>
      <c r="I102" s="2">
        <f>181743*6</f>
        <v>1090458</v>
      </c>
      <c r="J102" s="2">
        <f>254104*6</f>
        <v>1524624</v>
      </c>
      <c r="K102" s="2">
        <f>312943*6</f>
        <v>1877658</v>
      </c>
      <c r="L102" s="8">
        <f>411304*6</f>
        <v>2467824</v>
      </c>
    </row>
    <row r="103" spans="1:12" ht="30" x14ac:dyDescent="0.25">
      <c r="A103" s="8"/>
      <c r="B103" s="5" t="s">
        <v>15</v>
      </c>
      <c r="C103" s="6">
        <v>601819304</v>
      </c>
      <c r="D103" s="1" t="s">
        <v>93</v>
      </c>
      <c r="E103" s="2">
        <f>699*6</f>
        <v>4194</v>
      </c>
      <c r="F103" s="2">
        <f>794*6</f>
        <v>4764</v>
      </c>
      <c r="G103" s="2">
        <f t="shared" si="2"/>
        <v>419400</v>
      </c>
      <c r="H103" s="2">
        <f t="shared" si="3"/>
        <v>476400</v>
      </c>
      <c r="I103" s="2">
        <f>186043*6</f>
        <v>1116258</v>
      </c>
      <c r="J103" s="2">
        <f>254904*6</f>
        <v>1529424</v>
      </c>
      <c r="K103" s="2">
        <f>325843*6</f>
        <v>1955058</v>
      </c>
      <c r="L103" s="8">
        <f>413704*6</f>
        <v>2482224</v>
      </c>
    </row>
    <row r="104" spans="1:12" ht="45" x14ac:dyDescent="0.25">
      <c r="A104" s="8"/>
      <c r="B104" s="5" t="s">
        <v>15</v>
      </c>
      <c r="C104" s="6">
        <v>601819414</v>
      </c>
      <c r="D104" s="1" t="s">
        <v>94</v>
      </c>
      <c r="E104" s="2">
        <f>745*6</f>
        <v>4470</v>
      </c>
      <c r="F104" s="2">
        <f>894*6</f>
        <v>5364</v>
      </c>
      <c r="G104" s="2">
        <f t="shared" si="2"/>
        <v>447000</v>
      </c>
      <c r="H104" s="2">
        <f t="shared" si="3"/>
        <v>536400</v>
      </c>
      <c r="I104" s="2">
        <f>190643*6</f>
        <v>1143858</v>
      </c>
      <c r="J104" s="2">
        <f>264904*6</f>
        <v>1589424</v>
      </c>
      <c r="K104" s="2">
        <f>339643*6</f>
        <v>2037858</v>
      </c>
      <c r="L104" s="8">
        <f>443704*6</f>
        <v>2662224</v>
      </c>
    </row>
    <row r="105" spans="1:12" ht="30" x14ac:dyDescent="0.25">
      <c r="A105" s="8"/>
      <c r="B105" s="5" t="s">
        <v>15</v>
      </c>
      <c r="C105" s="6">
        <v>601819313</v>
      </c>
      <c r="D105" s="1" t="s">
        <v>95</v>
      </c>
      <c r="E105" s="2">
        <f>516*6</f>
        <v>3096</v>
      </c>
      <c r="F105" s="2">
        <f>586*6</f>
        <v>3516</v>
      </c>
      <c r="G105" s="2">
        <f t="shared" si="2"/>
        <v>309600</v>
      </c>
      <c r="H105" s="2">
        <f t="shared" si="3"/>
        <v>351600</v>
      </c>
      <c r="I105" s="2">
        <f>167743*6</f>
        <v>1006458</v>
      </c>
      <c r="J105" s="2">
        <f>234104*6</f>
        <v>1404624</v>
      </c>
      <c r="K105" s="2">
        <f>270943*6</f>
        <v>1625658</v>
      </c>
      <c r="L105" s="8">
        <f>351304*6</f>
        <v>2107824</v>
      </c>
    </row>
    <row r="106" spans="1:12" ht="30" x14ac:dyDescent="0.25">
      <c r="A106" s="8"/>
      <c r="B106" s="5" t="s">
        <v>15</v>
      </c>
      <c r="C106" s="6">
        <v>601819514</v>
      </c>
      <c r="D106" s="1" t="s">
        <v>96</v>
      </c>
      <c r="E106" s="2">
        <f>432*6</f>
        <v>2592</v>
      </c>
      <c r="F106" s="2">
        <f>518*6</f>
        <v>3108</v>
      </c>
      <c r="G106" s="2">
        <f t="shared" si="2"/>
        <v>259200</v>
      </c>
      <c r="H106" s="2">
        <f t="shared" si="3"/>
        <v>310800</v>
      </c>
      <c r="I106" s="2">
        <f>159343*6</f>
        <v>956058</v>
      </c>
      <c r="J106" s="2">
        <f>227304*6</f>
        <v>1363824</v>
      </c>
      <c r="K106" s="2">
        <f>245743*6</f>
        <v>1474458</v>
      </c>
      <c r="L106" s="8">
        <f>330904*6</f>
        <v>1985424</v>
      </c>
    </row>
    <row r="107" spans="1:12" ht="30" x14ac:dyDescent="0.25">
      <c r="A107" s="8"/>
      <c r="B107" s="5" t="s">
        <v>15</v>
      </c>
      <c r="C107" s="6">
        <v>601819308</v>
      </c>
      <c r="D107" s="1" t="s">
        <v>97</v>
      </c>
      <c r="E107" s="2">
        <f>804*6</f>
        <v>4824</v>
      </c>
      <c r="F107" s="2">
        <f>963*6</f>
        <v>5778</v>
      </c>
      <c r="G107" s="2">
        <f t="shared" si="2"/>
        <v>482400</v>
      </c>
      <c r="H107" s="2">
        <f t="shared" si="3"/>
        <v>577800</v>
      </c>
      <c r="I107" s="2">
        <f>196543*6</f>
        <v>1179258</v>
      </c>
      <c r="J107" s="2">
        <f>271804*6</f>
        <v>1630824</v>
      </c>
      <c r="K107" s="2">
        <f>357343*6</f>
        <v>2144058</v>
      </c>
      <c r="L107" s="8">
        <f>464404*6</f>
        <v>2786424</v>
      </c>
    </row>
    <row r="108" spans="1:12" ht="30" x14ac:dyDescent="0.25">
      <c r="A108" s="8"/>
      <c r="B108" s="5" t="s">
        <v>15</v>
      </c>
      <c r="C108" s="6">
        <v>601819314</v>
      </c>
      <c r="D108" s="1" t="s">
        <v>98</v>
      </c>
      <c r="E108" s="2">
        <f>758*6</f>
        <v>4548</v>
      </c>
      <c r="F108" s="2">
        <f>909*6</f>
        <v>5454</v>
      </c>
      <c r="G108" s="2">
        <f t="shared" si="2"/>
        <v>454800</v>
      </c>
      <c r="H108" s="2">
        <f t="shared" si="3"/>
        <v>545400</v>
      </c>
      <c r="I108" s="2">
        <f>191943*6</f>
        <v>1151658</v>
      </c>
      <c r="J108" s="2">
        <f>266404*6</f>
        <v>1598424</v>
      </c>
      <c r="K108" s="2">
        <f>343543*6</f>
        <v>2061258</v>
      </c>
      <c r="L108" s="8">
        <f>448204*6</f>
        <v>2689224</v>
      </c>
    </row>
    <row r="109" spans="1:12" ht="45" x14ac:dyDescent="0.25">
      <c r="A109" s="8"/>
      <c r="B109" s="5"/>
      <c r="C109" s="6">
        <v>601817589</v>
      </c>
      <c r="D109" s="1" t="s">
        <v>99</v>
      </c>
      <c r="E109" s="2">
        <f>531*6</f>
        <v>3186</v>
      </c>
      <c r="F109" s="2">
        <f>604*6</f>
        <v>3624</v>
      </c>
      <c r="G109" s="2">
        <f t="shared" si="2"/>
        <v>318600</v>
      </c>
      <c r="H109" s="2">
        <f t="shared" si="3"/>
        <v>362400</v>
      </c>
      <c r="I109" s="2">
        <f>169243*6</f>
        <v>1015458</v>
      </c>
      <c r="J109" s="2">
        <f>235904*6</f>
        <v>1415424</v>
      </c>
      <c r="K109" s="2">
        <f>275443*6</f>
        <v>1652658</v>
      </c>
      <c r="L109" s="8">
        <f>356704*6</f>
        <v>2140224</v>
      </c>
    </row>
    <row r="110" spans="1:12" ht="30" x14ac:dyDescent="0.25">
      <c r="A110" s="8"/>
      <c r="B110" s="5" t="s">
        <v>15</v>
      </c>
      <c r="C110" s="6">
        <v>601819659</v>
      </c>
      <c r="D110" s="1" t="s">
        <v>100</v>
      </c>
      <c r="E110" s="2">
        <f>382*6</f>
        <v>2292</v>
      </c>
      <c r="F110" s="2">
        <f>459*6</f>
        <v>2754</v>
      </c>
      <c r="G110" s="2">
        <f t="shared" si="2"/>
        <v>229200</v>
      </c>
      <c r="H110" s="2">
        <f t="shared" si="3"/>
        <v>275400</v>
      </c>
      <c r="I110" s="2">
        <f>154343*6</f>
        <v>926058</v>
      </c>
      <c r="J110" s="2">
        <f>221404*6</f>
        <v>1328424</v>
      </c>
      <c r="K110" s="2">
        <f>230743*6</f>
        <v>1384458</v>
      </c>
      <c r="L110" s="8">
        <f>313204*6</f>
        <v>1879224</v>
      </c>
    </row>
    <row r="111" spans="1:12" ht="30" x14ac:dyDescent="0.25">
      <c r="A111" s="8"/>
      <c r="B111" s="5"/>
      <c r="C111" s="6">
        <v>601817435</v>
      </c>
      <c r="D111" s="1" t="s">
        <v>101</v>
      </c>
      <c r="E111" s="2">
        <f>406*6</f>
        <v>2436</v>
      </c>
      <c r="F111" s="2">
        <f>461*6</f>
        <v>2766</v>
      </c>
      <c r="G111" s="2">
        <f t="shared" si="2"/>
        <v>243600</v>
      </c>
      <c r="H111" s="2">
        <f t="shared" si="3"/>
        <v>276600</v>
      </c>
      <c r="I111" s="2">
        <f>156743*6</f>
        <v>940458</v>
      </c>
      <c r="J111" s="2">
        <f>221604*6</f>
        <v>1329624</v>
      </c>
      <c r="K111" s="2">
        <f>237943*6</f>
        <v>1427658</v>
      </c>
      <c r="L111" s="8">
        <f>313804*6</f>
        <v>1882824</v>
      </c>
    </row>
    <row r="112" spans="1:12" x14ac:dyDescent="0.25">
      <c r="A112" s="8"/>
      <c r="B112" s="5" t="s">
        <v>15</v>
      </c>
      <c r="C112" s="6">
        <v>601819490</v>
      </c>
      <c r="D112" s="1" t="s">
        <v>102</v>
      </c>
      <c r="E112" s="2">
        <f>771*6</f>
        <v>4626</v>
      </c>
      <c r="F112" s="2">
        <f>925*6</f>
        <v>5550</v>
      </c>
      <c r="G112" s="2">
        <f t="shared" si="2"/>
        <v>462600</v>
      </c>
      <c r="H112" s="2">
        <f t="shared" si="3"/>
        <v>555000</v>
      </c>
      <c r="I112" s="2">
        <f>193243*6</f>
        <v>1159458</v>
      </c>
      <c r="J112" s="2">
        <f>268004*6</f>
        <v>1608024</v>
      </c>
      <c r="K112" s="2">
        <f>347443*6</f>
        <v>2084658</v>
      </c>
      <c r="L112" s="8">
        <f>453004*6</f>
        <v>2718024</v>
      </c>
    </row>
    <row r="113" spans="1:12" x14ac:dyDescent="0.25">
      <c r="A113" s="8"/>
      <c r="B113" s="5" t="s">
        <v>15</v>
      </c>
      <c r="C113" s="6">
        <v>601819305</v>
      </c>
      <c r="D113" s="1" t="s">
        <v>103</v>
      </c>
      <c r="E113" s="2">
        <f>577*6</f>
        <v>3462</v>
      </c>
      <c r="F113" s="2">
        <f>692*6</f>
        <v>4152</v>
      </c>
      <c r="G113" s="2">
        <f t="shared" si="2"/>
        <v>346200</v>
      </c>
      <c r="H113" s="2">
        <f t="shared" si="3"/>
        <v>415200</v>
      </c>
      <c r="I113" s="2">
        <f>173843*6</f>
        <v>1043058</v>
      </c>
      <c r="J113" s="2">
        <f>244704*6</f>
        <v>1468224</v>
      </c>
      <c r="K113" s="2">
        <f>289243*6</f>
        <v>1735458</v>
      </c>
      <c r="L113" s="8">
        <f>383104*6</f>
        <v>2298624</v>
      </c>
    </row>
    <row r="114" spans="1:12" ht="45" x14ac:dyDescent="0.25">
      <c r="A114" s="8"/>
      <c r="B114" s="5" t="s">
        <v>15</v>
      </c>
      <c r="C114" s="6">
        <v>601819306</v>
      </c>
      <c r="D114" s="1" t="s">
        <v>104</v>
      </c>
      <c r="E114" s="2">
        <f>835*6</f>
        <v>5010</v>
      </c>
      <c r="F114" s="2">
        <f>1000*6</f>
        <v>6000</v>
      </c>
      <c r="G114" s="2">
        <f t="shared" si="2"/>
        <v>501000</v>
      </c>
      <c r="H114" s="2">
        <f t="shared" si="3"/>
        <v>600000</v>
      </c>
      <c r="I114" s="2">
        <f>199643*6</f>
        <v>1197858</v>
      </c>
      <c r="J114" s="2">
        <f>275504*6</f>
        <v>1653024</v>
      </c>
      <c r="K114" s="2">
        <f>366643*6</f>
        <v>2199858</v>
      </c>
      <c r="L114" s="8">
        <f>475504*6</f>
        <v>2853024</v>
      </c>
    </row>
    <row r="115" spans="1:12" x14ac:dyDescent="0.25">
      <c r="A115" s="8"/>
      <c r="B115" s="5" t="s">
        <v>15</v>
      </c>
      <c r="C115" s="6">
        <v>601819460</v>
      </c>
      <c r="D115" s="1" t="s">
        <v>105</v>
      </c>
      <c r="E115" s="2">
        <f>801*6</f>
        <v>4806</v>
      </c>
      <c r="F115" s="2">
        <f>959*6</f>
        <v>5754</v>
      </c>
      <c r="G115" s="2">
        <f t="shared" si="2"/>
        <v>480600</v>
      </c>
      <c r="H115" s="2">
        <f t="shared" si="3"/>
        <v>575400</v>
      </c>
      <c r="I115" s="2">
        <f>196243*6</f>
        <v>1177458</v>
      </c>
      <c r="J115" s="2">
        <f>271404*6</f>
        <v>1628424</v>
      </c>
      <c r="K115" s="2">
        <f>356443*6</f>
        <v>2138658</v>
      </c>
      <c r="L115" s="8">
        <f>463204*6</f>
        <v>2779224</v>
      </c>
    </row>
    <row r="116" spans="1:12" ht="45" x14ac:dyDescent="0.25">
      <c r="A116" s="8"/>
      <c r="B116" s="5" t="s">
        <v>15</v>
      </c>
      <c r="C116" s="6">
        <v>601819559</v>
      </c>
      <c r="D116" s="1" t="s">
        <v>106</v>
      </c>
      <c r="E116" s="2">
        <f>771*6</f>
        <v>4626</v>
      </c>
      <c r="F116" s="2">
        <f>925*6</f>
        <v>5550</v>
      </c>
      <c r="G116" s="2">
        <f t="shared" si="2"/>
        <v>462600</v>
      </c>
      <c r="H116" s="2">
        <f t="shared" si="3"/>
        <v>555000</v>
      </c>
      <c r="I116" s="2">
        <f>193243*6</f>
        <v>1159458</v>
      </c>
      <c r="J116" s="2">
        <f>268004*6</f>
        <v>1608024</v>
      </c>
      <c r="K116" s="2">
        <f>347443*6</f>
        <v>2084658</v>
      </c>
      <c r="L116" s="8">
        <f>453004*6</f>
        <v>2718024</v>
      </c>
    </row>
    <row r="117" spans="1:12" ht="30" x14ac:dyDescent="0.25">
      <c r="A117" s="8"/>
      <c r="B117" s="5" t="s">
        <v>15</v>
      </c>
      <c r="C117" s="6">
        <v>601819603</v>
      </c>
      <c r="D117" s="1" t="s">
        <v>107</v>
      </c>
      <c r="E117" s="2">
        <f>701*6</f>
        <v>4206</v>
      </c>
      <c r="F117" s="2">
        <f>839*6</f>
        <v>5034</v>
      </c>
      <c r="G117" s="2">
        <f t="shared" si="2"/>
        <v>420600</v>
      </c>
      <c r="H117" s="2">
        <f t="shared" si="3"/>
        <v>503400</v>
      </c>
      <c r="I117" s="2">
        <f>186243*6</f>
        <v>1117458</v>
      </c>
      <c r="J117" s="2">
        <f>259404*6</f>
        <v>1556424</v>
      </c>
      <c r="K117" s="2">
        <f>326443*6</f>
        <v>1958658</v>
      </c>
      <c r="L117" s="8">
        <f>427204*6</f>
        <v>2563224</v>
      </c>
    </row>
    <row r="118" spans="1:12" ht="45" x14ac:dyDescent="0.25">
      <c r="A118" s="9"/>
      <c r="B118" s="10" t="s">
        <v>108</v>
      </c>
      <c r="C118" s="7"/>
      <c r="D118" s="11"/>
      <c r="E118" s="12"/>
      <c r="F118" s="12"/>
      <c r="G118" s="12"/>
      <c r="H118" s="12"/>
      <c r="I118" s="12"/>
      <c r="J118" s="12"/>
      <c r="K118" s="12"/>
      <c r="L118" s="9"/>
    </row>
    <row r="119" spans="1:12" ht="30" x14ac:dyDescent="0.25">
      <c r="A119" s="8"/>
      <c r="B119" s="5"/>
      <c r="C119" s="6">
        <v>601817578</v>
      </c>
      <c r="D119" s="1" t="s">
        <v>109</v>
      </c>
      <c r="E119" s="2">
        <f>677*6</f>
        <v>4062</v>
      </c>
      <c r="F119" s="2">
        <f>771*6</f>
        <v>4626</v>
      </c>
      <c r="G119" s="2">
        <f t="shared" si="2"/>
        <v>406200</v>
      </c>
      <c r="H119" s="2">
        <f t="shared" si="3"/>
        <v>462600</v>
      </c>
      <c r="I119" s="2">
        <f>183843*6</f>
        <v>1103058</v>
      </c>
      <c r="J119" s="2">
        <f>252604*6</f>
        <v>1515624</v>
      </c>
      <c r="K119" s="2">
        <f>319243*6</f>
        <v>1915458</v>
      </c>
      <c r="L119" s="8">
        <f>406804*6</f>
        <v>2440824</v>
      </c>
    </row>
    <row r="120" spans="1:12" ht="30" x14ac:dyDescent="0.25">
      <c r="A120" s="8"/>
      <c r="B120" s="5"/>
      <c r="C120" s="6">
        <v>601816852</v>
      </c>
      <c r="D120" s="1" t="s">
        <v>110</v>
      </c>
      <c r="E120" s="2">
        <f>496*6</f>
        <v>2976</v>
      </c>
      <c r="F120" s="2">
        <f>564*6</f>
        <v>3384</v>
      </c>
      <c r="G120" s="2">
        <f t="shared" si="2"/>
        <v>297600</v>
      </c>
      <c r="H120" s="2">
        <f t="shared" si="3"/>
        <v>338400</v>
      </c>
      <c r="I120" s="2">
        <f>165743*6</f>
        <v>994458</v>
      </c>
      <c r="J120" s="2">
        <f>231904*6</f>
        <v>1391424</v>
      </c>
      <c r="K120" s="2">
        <f>264943*6</f>
        <v>1589658</v>
      </c>
      <c r="L120" s="8">
        <f>344704*6</f>
        <v>2068224</v>
      </c>
    </row>
    <row r="121" spans="1:12" ht="30" x14ac:dyDescent="0.25">
      <c r="A121" s="8"/>
      <c r="B121" s="5" t="s">
        <v>15</v>
      </c>
      <c r="C121" s="6">
        <v>601819316</v>
      </c>
      <c r="D121" s="1" t="s">
        <v>111</v>
      </c>
      <c r="E121" s="2">
        <f>680*6</f>
        <v>4080</v>
      </c>
      <c r="F121" s="2">
        <f>816*6</f>
        <v>4896</v>
      </c>
      <c r="G121" s="2">
        <f t="shared" si="2"/>
        <v>408000</v>
      </c>
      <c r="H121" s="2">
        <f t="shared" si="3"/>
        <v>489600</v>
      </c>
      <c r="I121" s="2">
        <f>184143*6</f>
        <v>1104858</v>
      </c>
      <c r="J121" s="2">
        <f>257104*6</f>
        <v>1542624</v>
      </c>
      <c r="K121" s="2">
        <f>320143*6</f>
        <v>1920858</v>
      </c>
      <c r="L121" s="8">
        <f>420304*6</f>
        <v>2521824</v>
      </c>
    </row>
    <row r="122" spans="1:12" ht="30" x14ac:dyDescent="0.25">
      <c r="A122" s="8"/>
      <c r="B122" s="5" t="s">
        <v>15</v>
      </c>
      <c r="C122" s="6">
        <v>601819400</v>
      </c>
      <c r="D122" s="1" t="s">
        <v>112</v>
      </c>
      <c r="E122" s="2">
        <f>553*6</f>
        <v>3318</v>
      </c>
      <c r="F122" s="2">
        <f>662*6</f>
        <v>3972</v>
      </c>
      <c r="G122" s="2">
        <f t="shared" si="2"/>
        <v>331800</v>
      </c>
      <c r="H122" s="2">
        <f t="shared" si="3"/>
        <v>397200</v>
      </c>
      <c r="I122" s="2">
        <f>171443*6</f>
        <v>1028658</v>
      </c>
      <c r="J122" s="2">
        <f>241704*6</f>
        <v>1450224</v>
      </c>
      <c r="K122" s="2">
        <f>282043*6</f>
        <v>1692258</v>
      </c>
      <c r="L122" s="8">
        <f>374104*6</f>
        <v>2244624</v>
      </c>
    </row>
    <row r="123" spans="1:12" ht="30" x14ac:dyDescent="0.25">
      <c r="A123" s="8"/>
      <c r="B123" s="5" t="s">
        <v>15</v>
      </c>
      <c r="C123" s="6">
        <v>601819401</v>
      </c>
      <c r="D123" s="1" t="s">
        <v>113</v>
      </c>
      <c r="E123" s="2">
        <f>553*6</f>
        <v>3318</v>
      </c>
      <c r="F123" s="2">
        <f>662*6</f>
        <v>3972</v>
      </c>
      <c r="G123" s="2">
        <f t="shared" si="2"/>
        <v>331800</v>
      </c>
      <c r="H123" s="2">
        <f t="shared" si="3"/>
        <v>397200</v>
      </c>
      <c r="I123" s="2">
        <f>171443*6</f>
        <v>1028658</v>
      </c>
      <c r="J123" s="2">
        <f>241704*6</f>
        <v>1450224</v>
      </c>
      <c r="K123" s="2">
        <f>282043*6</f>
        <v>1692258</v>
      </c>
      <c r="L123" s="8">
        <f>374104*6</f>
        <v>2244624</v>
      </c>
    </row>
    <row r="124" spans="1:12" ht="30" x14ac:dyDescent="0.25">
      <c r="A124" s="8"/>
      <c r="B124" s="5" t="s">
        <v>15</v>
      </c>
      <c r="C124" s="6">
        <v>601819568</v>
      </c>
      <c r="D124" s="1" t="s">
        <v>114</v>
      </c>
      <c r="E124" s="2">
        <f>701*6</f>
        <v>4206</v>
      </c>
      <c r="F124" s="2">
        <f>839*6</f>
        <v>5034</v>
      </c>
      <c r="G124" s="2">
        <f t="shared" si="2"/>
        <v>420600</v>
      </c>
      <c r="H124" s="2">
        <f t="shared" si="3"/>
        <v>503400</v>
      </c>
      <c r="I124" s="2">
        <f>186243*6</f>
        <v>1117458</v>
      </c>
      <c r="J124" s="2">
        <f>259404*6</f>
        <v>1556424</v>
      </c>
      <c r="K124" s="2">
        <f>326443*6</f>
        <v>1958658</v>
      </c>
      <c r="L124" s="8">
        <f>427204*6</f>
        <v>2563224</v>
      </c>
    </row>
    <row r="125" spans="1:12" ht="30" x14ac:dyDescent="0.25">
      <c r="A125" s="8"/>
      <c r="B125" s="5" t="s">
        <v>15</v>
      </c>
      <c r="C125" s="6">
        <v>601819516</v>
      </c>
      <c r="D125" s="1" t="s">
        <v>115</v>
      </c>
      <c r="E125" s="2">
        <f>589*6</f>
        <v>3534</v>
      </c>
      <c r="F125" s="2">
        <f>705*6</f>
        <v>4230</v>
      </c>
      <c r="G125" s="2">
        <f t="shared" si="2"/>
        <v>353400</v>
      </c>
      <c r="H125" s="2">
        <f t="shared" si="3"/>
        <v>423000</v>
      </c>
      <c r="I125" s="2">
        <f>175043*6</f>
        <v>1050258</v>
      </c>
      <c r="J125" s="2">
        <f>246004*6</f>
        <v>1476024</v>
      </c>
      <c r="K125" s="2">
        <f>292843*6</f>
        <v>1757058</v>
      </c>
      <c r="L125" s="8">
        <f>387004*6</f>
        <v>2322024</v>
      </c>
    </row>
    <row r="126" spans="1:12" ht="30" x14ac:dyDescent="0.25">
      <c r="A126" s="8"/>
      <c r="B126" s="5" t="s">
        <v>15</v>
      </c>
      <c r="C126" s="6">
        <v>601819517</v>
      </c>
      <c r="D126" s="1" t="s">
        <v>116</v>
      </c>
      <c r="E126" s="2">
        <f>698*6</f>
        <v>4188</v>
      </c>
      <c r="F126" s="2">
        <f>836*6</f>
        <v>5016</v>
      </c>
      <c r="G126" s="2">
        <f t="shared" si="2"/>
        <v>418800</v>
      </c>
      <c r="H126" s="2">
        <f t="shared" si="3"/>
        <v>501600</v>
      </c>
      <c r="I126" s="2">
        <f>185943*6</f>
        <v>1115658</v>
      </c>
      <c r="J126" s="2">
        <f>259104*6</f>
        <v>1554624</v>
      </c>
      <c r="K126" s="2">
        <f>325543*6</f>
        <v>1953258</v>
      </c>
      <c r="L126" s="8">
        <f>426304*6</f>
        <v>2557824</v>
      </c>
    </row>
    <row r="127" spans="1:12" ht="30" x14ac:dyDescent="0.25">
      <c r="A127" s="8"/>
      <c r="B127" s="5"/>
      <c r="C127" s="6">
        <v>601817519</v>
      </c>
      <c r="D127" s="1" t="s">
        <v>117</v>
      </c>
      <c r="E127" s="2">
        <f>445*6</f>
        <v>2670</v>
      </c>
      <c r="F127" s="2">
        <f>505*6</f>
        <v>3030</v>
      </c>
      <c r="G127" s="2">
        <f t="shared" si="2"/>
        <v>267000</v>
      </c>
      <c r="H127" s="2">
        <f t="shared" si="3"/>
        <v>303000</v>
      </c>
      <c r="I127" s="2">
        <f>160643*6</f>
        <v>963858</v>
      </c>
      <c r="J127" s="2">
        <f>226004*6</f>
        <v>1356024</v>
      </c>
      <c r="K127" s="2">
        <f>249643*6</f>
        <v>1497858</v>
      </c>
      <c r="L127" s="8">
        <f>327004*6</f>
        <v>1962024</v>
      </c>
    </row>
    <row r="128" spans="1:12" ht="30" x14ac:dyDescent="0.25">
      <c r="A128" s="8"/>
      <c r="B128" s="5" t="s">
        <v>15</v>
      </c>
      <c r="C128" s="6">
        <v>601819416</v>
      </c>
      <c r="D128" s="1" t="s">
        <v>118</v>
      </c>
      <c r="E128" s="2">
        <f>448*6</f>
        <v>2688</v>
      </c>
      <c r="F128" s="2">
        <f>510*6</f>
        <v>3060</v>
      </c>
      <c r="G128" s="2">
        <f t="shared" si="2"/>
        <v>268800</v>
      </c>
      <c r="H128" s="2">
        <f t="shared" si="3"/>
        <v>306000</v>
      </c>
      <c r="I128" s="2">
        <f>160943*6</f>
        <v>965658</v>
      </c>
      <c r="J128" s="2">
        <f>226504*6</f>
        <v>1359024</v>
      </c>
      <c r="K128" s="2">
        <f>250543*6</f>
        <v>1503258</v>
      </c>
      <c r="L128" s="8">
        <f>328504*6</f>
        <v>1971024</v>
      </c>
    </row>
    <row r="129" spans="1:12" ht="30" x14ac:dyDescent="0.25">
      <c r="A129" s="8"/>
      <c r="B129" s="5" t="s">
        <v>15</v>
      </c>
      <c r="C129" s="6">
        <v>601819417</v>
      </c>
      <c r="D129" s="1" t="s">
        <v>119</v>
      </c>
      <c r="E129" s="2">
        <f>576*6</f>
        <v>3456</v>
      </c>
      <c r="F129" s="2">
        <f>654*6</f>
        <v>3924</v>
      </c>
      <c r="G129" s="2">
        <f t="shared" si="2"/>
        <v>345600</v>
      </c>
      <c r="H129" s="2">
        <f t="shared" si="3"/>
        <v>392400</v>
      </c>
      <c r="I129" s="2">
        <f>173743*6</f>
        <v>1042458</v>
      </c>
      <c r="J129" s="2">
        <f>240904*6</f>
        <v>1445424</v>
      </c>
      <c r="K129" s="2">
        <f>288943*6</f>
        <v>1733658</v>
      </c>
      <c r="L129" s="8">
        <f>371704*6</f>
        <v>2230224</v>
      </c>
    </row>
    <row r="130" spans="1:12" ht="30" x14ac:dyDescent="0.25">
      <c r="A130" s="8"/>
      <c r="B130" s="5" t="s">
        <v>15</v>
      </c>
      <c r="C130" s="6">
        <v>601819415</v>
      </c>
      <c r="D130" s="1" t="s">
        <v>120</v>
      </c>
      <c r="E130" s="2">
        <f>485*6</f>
        <v>2910</v>
      </c>
      <c r="F130" s="2">
        <f>551*6</f>
        <v>3306</v>
      </c>
      <c r="G130" s="2">
        <f t="shared" si="2"/>
        <v>291000</v>
      </c>
      <c r="H130" s="2">
        <f t="shared" si="3"/>
        <v>330600</v>
      </c>
      <c r="I130" s="2">
        <f>164643*6</f>
        <v>987858</v>
      </c>
      <c r="J130" s="2">
        <f>230604*6</f>
        <v>1383624</v>
      </c>
      <c r="K130" s="2">
        <f>261643*6</f>
        <v>1569858</v>
      </c>
      <c r="L130" s="8">
        <f>340804*6</f>
        <v>2044824</v>
      </c>
    </row>
    <row r="131" spans="1:12" ht="30" x14ac:dyDescent="0.25">
      <c r="A131" s="8"/>
      <c r="B131" s="5" t="s">
        <v>15</v>
      </c>
      <c r="C131" s="6">
        <v>601819418</v>
      </c>
      <c r="D131" s="1" t="s">
        <v>121</v>
      </c>
      <c r="E131" s="2">
        <f>381*6</f>
        <v>2286</v>
      </c>
      <c r="F131" s="2">
        <f>434*6</f>
        <v>2604</v>
      </c>
      <c r="G131" s="2">
        <f t="shared" si="2"/>
        <v>228600</v>
      </c>
      <c r="H131" s="2">
        <f t="shared" si="3"/>
        <v>260400</v>
      </c>
      <c r="I131" s="2">
        <f>154243*6</f>
        <v>925458</v>
      </c>
      <c r="J131" s="2">
        <f>218904*6</f>
        <v>1313424</v>
      </c>
      <c r="K131" s="2">
        <f>230443*6</f>
        <v>1382658</v>
      </c>
      <c r="L131" s="8">
        <f>305704*6</f>
        <v>1834224</v>
      </c>
    </row>
    <row r="132" spans="1:12" ht="75" x14ac:dyDescent="0.25">
      <c r="A132" s="8"/>
      <c r="B132" s="5" t="s">
        <v>15</v>
      </c>
      <c r="C132" s="6">
        <v>601819419</v>
      </c>
      <c r="D132" s="1" t="s">
        <v>122</v>
      </c>
      <c r="E132" s="2">
        <f>698*6</f>
        <v>4188</v>
      </c>
      <c r="F132" s="2">
        <f>836*6</f>
        <v>5016</v>
      </c>
      <c r="G132" s="2">
        <f t="shared" si="2"/>
        <v>418800</v>
      </c>
      <c r="H132" s="2">
        <f t="shared" si="3"/>
        <v>501600</v>
      </c>
      <c r="I132" s="2">
        <f>185943*6</f>
        <v>1115658</v>
      </c>
      <c r="J132" s="2">
        <f>259104*6</f>
        <v>1554624</v>
      </c>
      <c r="K132" s="2">
        <f>325543*6</f>
        <v>1953258</v>
      </c>
      <c r="L132" s="8">
        <f>426304*6</f>
        <v>2557824</v>
      </c>
    </row>
    <row r="133" spans="1:12" ht="75" x14ac:dyDescent="0.25">
      <c r="A133" s="8"/>
      <c r="B133" s="5" t="s">
        <v>15</v>
      </c>
      <c r="C133" s="6">
        <v>601819420</v>
      </c>
      <c r="D133" s="1" t="s">
        <v>123</v>
      </c>
      <c r="E133" s="2">
        <f>954*6</f>
        <v>5724</v>
      </c>
      <c r="F133" s="2">
        <f>1143*6</f>
        <v>6858</v>
      </c>
      <c r="G133" s="2">
        <f t="shared" si="2"/>
        <v>572400</v>
      </c>
      <c r="H133" s="2">
        <f t="shared" si="3"/>
        <v>685800</v>
      </c>
      <c r="I133" s="2">
        <f>211543*6</f>
        <v>1269258</v>
      </c>
      <c r="J133" s="2">
        <f>289804*6</f>
        <v>1738824</v>
      </c>
      <c r="K133" s="2">
        <f>402343*6</f>
        <v>2414058</v>
      </c>
      <c r="L133" s="8">
        <f>518404*6</f>
        <v>3110424</v>
      </c>
    </row>
    <row r="134" spans="1:12" ht="75" x14ac:dyDescent="0.25">
      <c r="A134" s="8"/>
      <c r="B134" s="5" t="s">
        <v>15</v>
      </c>
      <c r="C134" s="6">
        <v>601819497</v>
      </c>
      <c r="D134" s="1" t="s">
        <v>124</v>
      </c>
      <c r="E134" s="2">
        <f>559*6</f>
        <v>3354</v>
      </c>
      <c r="F134" s="2">
        <f>670*6</f>
        <v>4020</v>
      </c>
      <c r="G134" s="2">
        <f t="shared" si="2"/>
        <v>335400</v>
      </c>
      <c r="H134" s="2">
        <f t="shared" si="3"/>
        <v>402000</v>
      </c>
      <c r="I134" s="2">
        <f>172043*6</f>
        <v>1032258</v>
      </c>
      <c r="J134" s="2">
        <f>242504*6</f>
        <v>1455024</v>
      </c>
      <c r="K134" s="2">
        <f>283843*6</f>
        <v>1703058</v>
      </c>
      <c r="L134" s="8">
        <f>376504*6</f>
        <v>2259024</v>
      </c>
    </row>
    <row r="135" spans="1:12" ht="30" x14ac:dyDescent="0.25">
      <c r="A135" s="8"/>
      <c r="B135" s="5"/>
      <c r="C135" s="6">
        <v>601817594</v>
      </c>
      <c r="D135" s="1" t="s">
        <v>125</v>
      </c>
      <c r="E135" s="2">
        <f>551*6</f>
        <v>3306</v>
      </c>
      <c r="F135" s="2">
        <f>627*6</f>
        <v>3762</v>
      </c>
      <c r="G135" s="2">
        <f t="shared" si="2"/>
        <v>330600</v>
      </c>
      <c r="H135" s="2">
        <f t="shared" si="3"/>
        <v>376200</v>
      </c>
      <c r="I135" s="2">
        <f>171243*6</f>
        <v>1027458</v>
      </c>
      <c r="J135" s="2">
        <f>238204*6</f>
        <v>1429224</v>
      </c>
      <c r="K135" s="2">
        <f>281443*6</f>
        <v>1688658</v>
      </c>
      <c r="L135" s="8">
        <f>363604*6</f>
        <v>2181624</v>
      </c>
    </row>
    <row r="136" spans="1:12" ht="45" x14ac:dyDescent="0.25">
      <c r="A136" s="8"/>
      <c r="B136" s="5" t="s">
        <v>15</v>
      </c>
      <c r="C136" s="6">
        <v>601819519</v>
      </c>
      <c r="D136" s="1" t="s">
        <v>126</v>
      </c>
      <c r="E136" s="2">
        <f>555*6</f>
        <v>3330</v>
      </c>
      <c r="F136" s="2">
        <f>664*6</f>
        <v>3984</v>
      </c>
      <c r="G136" s="2">
        <f t="shared" si="2"/>
        <v>333000</v>
      </c>
      <c r="H136" s="2">
        <f t="shared" si="3"/>
        <v>398400</v>
      </c>
      <c r="I136" s="2">
        <f>171643*6</f>
        <v>1029858</v>
      </c>
      <c r="J136" s="2">
        <f>241904*6</f>
        <v>1451424</v>
      </c>
      <c r="K136" s="2">
        <f>282643*6</f>
        <v>1695858</v>
      </c>
      <c r="L136" s="8">
        <f>374704*6</f>
        <v>2248224</v>
      </c>
    </row>
    <row r="137" spans="1:12" ht="60" x14ac:dyDescent="0.25">
      <c r="A137" s="8"/>
      <c r="B137" s="5"/>
      <c r="C137" s="6">
        <v>601817342</v>
      </c>
      <c r="D137" s="1" t="s">
        <v>127</v>
      </c>
      <c r="E137" s="2">
        <f>565*6</f>
        <v>3390</v>
      </c>
      <c r="F137" s="2">
        <f>642*6</f>
        <v>3852</v>
      </c>
      <c r="G137" s="2">
        <f t="shared" si="2"/>
        <v>339000</v>
      </c>
      <c r="H137" s="2">
        <f t="shared" si="3"/>
        <v>385200</v>
      </c>
      <c r="I137" s="2">
        <f>172643*6</f>
        <v>1035858</v>
      </c>
      <c r="J137" s="2">
        <f>239704*6</f>
        <v>1438224</v>
      </c>
      <c r="K137" s="2">
        <f>285643*6</f>
        <v>1713858</v>
      </c>
      <c r="L137" s="8">
        <f>368104*6</f>
        <v>2208624</v>
      </c>
    </row>
    <row r="138" spans="1:12" ht="30" x14ac:dyDescent="0.25">
      <c r="A138" s="8"/>
      <c r="B138" s="5"/>
      <c r="C138" s="6">
        <v>601817341</v>
      </c>
      <c r="D138" s="1" t="s">
        <v>128</v>
      </c>
      <c r="E138" s="2">
        <f>1428*6</f>
        <v>8568</v>
      </c>
      <c r="F138" s="2">
        <f>1624*6</f>
        <v>9744</v>
      </c>
      <c r="G138" s="2">
        <f t="shared" si="2"/>
        <v>856800</v>
      </c>
      <c r="H138" s="2">
        <f t="shared" si="3"/>
        <v>974400</v>
      </c>
      <c r="I138" s="2">
        <f>258943*6</f>
        <v>1553658</v>
      </c>
      <c r="J138" s="2">
        <f>337904*6</f>
        <v>2027424</v>
      </c>
      <c r="K138" s="2">
        <f>544543*6</f>
        <v>3267258</v>
      </c>
      <c r="L138" s="8">
        <f>662704*6</f>
        <v>3976224</v>
      </c>
    </row>
    <row r="139" spans="1:12" ht="30" x14ac:dyDescent="0.25">
      <c r="A139" s="8"/>
      <c r="B139" s="5" t="s">
        <v>15</v>
      </c>
      <c r="C139" s="6">
        <v>601819498</v>
      </c>
      <c r="D139" s="1" t="s">
        <v>129</v>
      </c>
      <c r="E139" s="2">
        <f>516*6</f>
        <v>3096</v>
      </c>
      <c r="F139" s="2">
        <f>618*6</f>
        <v>3708</v>
      </c>
      <c r="G139" s="2">
        <f t="shared" si="2"/>
        <v>309600</v>
      </c>
      <c r="H139" s="2">
        <f t="shared" si="3"/>
        <v>370800</v>
      </c>
      <c r="I139" s="2">
        <f>167743*6</f>
        <v>1006458</v>
      </c>
      <c r="J139" s="2">
        <f>237304*6</f>
        <v>1423824</v>
      </c>
      <c r="K139" s="2">
        <f>270943*6</f>
        <v>1625658</v>
      </c>
      <c r="L139" s="8">
        <f>360904*6</f>
        <v>2165424</v>
      </c>
    </row>
    <row r="140" spans="1:12" ht="30" x14ac:dyDescent="0.25">
      <c r="A140" s="8"/>
      <c r="B140" s="5" t="s">
        <v>15</v>
      </c>
      <c r="C140" s="6">
        <v>601819567</v>
      </c>
      <c r="D140" s="1" t="s">
        <v>130</v>
      </c>
      <c r="E140" s="2">
        <f>358*6</f>
        <v>2148</v>
      </c>
      <c r="F140" s="2">
        <f>406*6</f>
        <v>2436</v>
      </c>
      <c r="G140" s="2">
        <f t="shared" ref="G140:G181" si="4">E140*100</f>
        <v>214800</v>
      </c>
      <c r="H140" s="2">
        <f t="shared" ref="H140:H181" si="5">F140*100</f>
        <v>243600</v>
      </c>
      <c r="I140" s="2">
        <f>151943*6</f>
        <v>911658</v>
      </c>
      <c r="J140" s="2">
        <f>216104*6</f>
        <v>1296624</v>
      </c>
      <c r="K140" s="2">
        <f>223543*6</f>
        <v>1341258</v>
      </c>
      <c r="L140" s="8">
        <f>297304*6</f>
        <v>1783824</v>
      </c>
    </row>
    <row r="141" spans="1:12" ht="30" x14ac:dyDescent="0.25">
      <c r="A141" s="8"/>
      <c r="B141" s="5"/>
      <c r="C141" s="6">
        <v>601817631</v>
      </c>
      <c r="D141" s="1" t="s">
        <v>131</v>
      </c>
      <c r="E141" s="2">
        <f>745*6</f>
        <v>4470</v>
      </c>
      <c r="F141" s="2">
        <f>846*6</f>
        <v>5076</v>
      </c>
      <c r="G141" s="2">
        <f t="shared" si="4"/>
        <v>447000</v>
      </c>
      <c r="H141" s="2">
        <f t="shared" si="5"/>
        <v>507600</v>
      </c>
      <c r="I141" s="2">
        <f>190643*6</f>
        <v>1143858</v>
      </c>
      <c r="J141" s="2">
        <f>260104*6</f>
        <v>1560624</v>
      </c>
      <c r="K141" s="2">
        <f>339643*6</f>
        <v>2037858</v>
      </c>
      <c r="L141" s="8">
        <f>429304*6</f>
        <v>2575824</v>
      </c>
    </row>
    <row r="142" spans="1:12" x14ac:dyDescent="0.25">
      <c r="A142" s="8"/>
      <c r="B142" s="5" t="s">
        <v>15</v>
      </c>
      <c r="C142" s="6">
        <v>601819311</v>
      </c>
      <c r="D142" s="1" t="s">
        <v>132</v>
      </c>
      <c r="E142" s="2">
        <f>701*6</f>
        <v>4206</v>
      </c>
      <c r="F142" s="2">
        <f>839*6</f>
        <v>5034</v>
      </c>
      <c r="G142" s="2">
        <f t="shared" si="4"/>
        <v>420600</v>
      </c>
      <c r="H142" s="2">
        <f t="shared" si="5"/>
        <v>503400</v>
      </c>
      <c r="I142" s="2">
        <f>186243*6</f>
        <v>1117458</v>
      </c>
      <c r="J142" s="2">
        <f>259404*6</f>
        <v>1556424</v>
      </c>
      <c r="K142" s="2">
        <f>326443*6</f>
        <v>1958658</v>
      </c>
      <c r="L142" s="8">
        <f>427204*6</f>
        <v>2563224</v>
      </c>
    </row>
    <row r="143" spans="1:12" ht="30" x14ac:dyDescent="0.25">
      <c r="A143" s="8"/>
      <c r="B143" s="5" t="s">
        <v>15</v>
      </c>
      <c r="C143" s="6">
        <v>601819601</v>
      </c>
      <c r="D143" s="1" t="s">
        <v>133</v>
      </c>
      <c r="E143" s="2">
        <f>698*6</f>
        <v>4188</v>
      </c>
      <c r="F143" s="2">
        <f>836*6</f>
        <v>5016</v>
      </c>
      <c r="G143" s="2">
        <f t="shared" si="4"/>
        <v>418800</v>
      </c>
      <c r="H143" s="2">
        <f t="shared" si="5"/>
        <v>501600</v>
      </c>
      <c r="I143" s="2">
        <f>185943*6</f>
        <v>1115658</v>
      </c>
      <c r="J143" s="2">
        <f>259104*6</f>
        <v>1554624</v>
      </c>
      <c r="K143" s="2">
        <f>325543*6</f>
        <v>1953258</v>
      </c>
      <c r="L143" s="8">
        <f>426304*6</f>
        <v>2557824</v>
      </c>
    </row>
    <row r="144" spans="1:12" ht="45" x14ac:dyDescent="0.25">
      <c r="A144" s="8"/>
      <c r="B144" s="5" t="s">
        <v>15</v>
      </c>
      <c r="C144" s="6">
        <v>601819602</v>
      </c>
      <c r="D144" s="1" t="s">
        <v>134</v>
      </c>
      <c r="E144" s="2">
        <f>417*6</f>
        <v>2502</v>
      </c>
      <c r="F144" s="2">
        <f>500*6</f>
        <v>3000</v>
      </c>
      <c r="G144" s="2">
        <f t="shared" si="4"/>
        <v>250200</v>
      </c>
      <c r="H144" s="2">
        <f t="shared" si="5"/>
        <v>300000</v>
      </c>
      <c r="I144" s="2">
        <f>157843*6</f>
        <v>947058</v>
      </c>
      <c r="J144" s="2">
        <f>225504*6</f>
        <v>1353024</v>
      </c>
      <c r="K144" s="2">
        <f>241243*6</f>
        <v>1447458</v>
      </c>
      <c r="L144" s="8">
        <f>325504*6</f>
        <v>1953024</v>
      </c>
    </row>
    <row r="145" spans="1:12" x14ac:dyDescent="0.25">
      <c r="A145" s="8"/>
      <c r="B145" s="13"/>
      <c r="C145" s="8"/>
      <c r="D145" s="8"/>
      <c r="E145" s="2"/>
      <c r="F145" s="2"/>
      <c r="G145" s="2"/>
      <c r="H145" s="2"/>
      <c r="I145" s="2"/>
      <c r="J145" s="2"/>
      <c r="K145" s="2"/>
      <c r="L145" s="8"/>
    </row>
    <row r="146" spans="1:12" ht="49.5" customHeight="1" x14ac:dyDescent="0.25">
      <c r="A146" s="9"/>
      <c r="B146" s="10" t="s">
        <v>135</v>
      </c>
      <c r="C146" s="7"/>
      <c r="D146" s="11"/>
      <c r="E146" s="12"/>
      <c r="F146" s="12"/>
      <c r="G146" s="12"/>
      <c r="H146" s="12"/>
      <c r="I146" s="12"/>
      <c r="J146" s="12"/>
      <c r="K146" s="12"/>
      <c r="L146" s="9"/>
    </row>
    <row r="147" spans="1:12" x14ac:dyDescent="0.25">
      <c r="A147" s="8"/>
      <c r="B147" s="5"/>
      <c r="C147" s="6">
        <v>601619320</v>
      </c>
      <c r="D147" s="3" t="s">
        <v>136</v>
      </c>
      <c r="E147" s="2">
        <f>3000*6</f>
        <v>18000</v>
      </c>
      <c r="F147" s="2">
        <f>4000*6</f>
        <v>24000</v>
      </c>
      <c r="G147" s="2">
        <f t="shared" si="4"/>
        <v>1800000</v>
      </c>
      <c r="H147" s="2">
        <f t="shared" si="5"/>
        <v>2400000</v>
      </c>
      <c r="I147" s="2">
        <f>416143*6</f>
        <v>2496858</v>
      </c>
      <c r="J147" s="2">
        <f>575504*6</f>
        <v>3453024</v>
      </c>
      <c r="K147" s="2">
        <f>1016143*6</f>
        <v>6096858</v>
      </c>
      <c r="L147" s="8">
        <f>1375504*6</f>
        <v>8253024</v>
      </c>
    </row>
    <row r="148" spans="1:12" x14ac:dyDescent="0.25">
      <c r="A148" s="8"/>
      <c r="B148" s="5"/>
      <c r="C148" s="6">
        <v>601619323</v>
      </c>
      <c r="D148" s="3" t="s">
        <v>137</v>
      </c>
      <c r="E148" s="2">
        <f>2400*6</f>
        <v>14400</v>
      </c>
      <c r="F148" s="2">
        <f>3200*6</f>
        <v>19200</v>
      </c>
      <c r="G148" s="2">
        <f t="shared" si="4"/>
        <v>1440000</v>
      </c>
      <c r="H148" s="2">
        <f t="shared" si="5"/>
        <v>1920000</v>
      </c>
      <c r="I148" s="2">
        <f>356143*6</f>
        <v>2136858</v>
      </c>
      <c r="J148" s="2">
        <f>495504*6</f>
        <v>2973024</v>
      </c>
      <c r="K148" s="2">
        <f>836143*6</f>
        <v>5016858</v>
      </c>
      <c r="L148" s="8">
        <f>1135504*6</f>
        <v>6813024</v>
      </c>
    </row>
    <row r="149" spans="1:12" x14ac:dyDescent="0.25">
      <c r="A149" s="8"/>
      <c r="B149" s="5"/>
      <c r="C149" s="6">
        <v>601619324</v>
      </c>
      <c r="D149" s="3" t="s">
        <v>138</v>
      </c>
      <c r="E149" s="2">
        <f>2700*6</f>
        <v>16200</v>
      </c>
      <c r="F149" s="2">
        <f>3600*6</f>
        <v>21600</v>
      </c>
      <c r="G149" s="2">
        <f t="shared" si="4"/>
        <v>1620000</v>
      </c>
      <c r="H149" s="2">
        <f t="shared" si="5"/>
        <v>2160000</v>
      </c>
      <c r="I149" s="2">
        <f>386143*6</f>
        <v>2316858</v>
      </c>
      <c r="J149" s="2">
        <f>535504*6</f>
        <v>3213024</v>
      </c>
      <c r="K149" s="2">
        <f>926143*6</f>
        <v>5556858</v>
      </c>
      <c r="L149" s="8">
        <f>1255504*6</f>
        <v>7533024</v>
      </c>
    </row>
    <row r="150" spans="1:12" ht="60" x14ac:dyDescent="0.25">
      <c r="A150" s="9"/>
      <c r="B150" s="10" t="s">
        <v>139</v>
      </c>
      <c r="C150" s="7"/>
      <c r="D150" s="11"/>
      <c r="E150" s="12"/>
      <c r="F150" s="12"/>
      <c r="G150" s="12"/>
      <c r="H150" s="12"/>
      <c r="I150" s="12"/>
      <c r="J150" s="12"/>
      <c r="K150" s="12"/>
      <c r="L150" s="9"/>
    </row>
    <row r="151" spans="1:12" ht="30" x14ac:dyDescent="0.25">
      <c r="A151" s="8"/>
      <c r="B151" s="5"/>
      <c r="C151" s="6">
        <v>601819101</v>
      </c>
      <c r="D151" s="3" t="s">
        <v>140</v>
      </c>
      <c r="E151" s="2">
        <f>2400*6</f>
        <v>14400</v>
      </c>
      <c r="F151" s="2">
        <f>3200*6</f>
        <v>19200</v>
      </c>
      <c r="G151" s="2">
        <f t="shared" si="4"/>
        <v>1440000</v>
      </c>
      <c r="H151" s="2">
        <f t="shared" si="5"/>
        <v>1920000</v>
      </c>
      <c r="I151" s="2">
        <f>356143*6</f>
        <v>2136858</v>
      </c>
      <c r="J151" s="2">
        <f>495504*6</f>
        <v>2973024</v>
      </c>
      <c r="K151" s="2">
        <f>836143*6</f>
        <v>5016858</v>
      </c>
      <c r="L151" s="8">
        <f>1135504*6</f>
        <v>6813024</v>
      </c>
    </row>
    <row r="152" spans="1:12" ht="30" x14ac:dyDescent="0.25">
      <c r="A152" s="8"/>
      <c r="B152" s="5"/>
      <c r="C152" s="6">
        <v>601819100</v>
      </c>
      <c r="D152" s="3" t="s">
        <v>141</v>
      </c>
      <c r="E152" s="2">
        <f>2400*6</f>
        <v>14400</v>
      </c>
      <c r="F152" s="2">
        <f>3200*6</f>
        <v>19200</v>
      </c>
      <c r="G152" s="2">
        <f t="shared" si="4"/>
        <v>1440000</v>
      </c>
      <c r="H152" s="2">
        <f t="shared" si="5"/>
        <v>1920000</v>
      </c>
      <c r="I152" s="2">
        <f>356143*6</f>
        <v>2136858</v>
      </c>
      <c r="J152" s="2">
        <f>495504*6</f>
        <v>2973024</v>
      </c>
      <c r="K152" s="2">
        <f>836143*6</f>
        <v>5016858</v>
      </c>
      <c r="L152" s="8">
        <f>1135504*6</f>
        <v>6813024</v>
      </c>
    </row>
    <row r="153" spans="1:12" ht="60" x14ac:dyDescent="0.25">
      <c r="A153" s="8"/>
      <c r="B153" s="5"/>
      <c r="C153" s="6">
        <v>601819099</v>
      </c>
      <c r="D153" s="3" t="s">
        <v>142</v>
      </c>
      <c r="E153" s="2">
        <f>2700*6</f>
        <v>16200</v>
      </c>
      <c r="F153" s="2">
        <f>3600*6</f>
        <v>21600</v>
      </c>
      <c r="G153" s="2">
        <f t="shared" si="4"/>
        <v>1620000</v>
      </c>
      <c r="H153" s="2">
        <f t="shared" si="5"/>
        <v>2160000</v>
      </c>
      <c r="I153" s="2">
        <f>386143*6</f>
        <v>2316858</v>
      </c>
      <c r="J153" s="2">
        <f>535504*6</f>
        <v>3213024</v>
      </c>
      <c r="K153" s="2">
        <f>926143*6</f>
        <v>5556858</v>
      </c>
      <c r="L153" s="8">
        <f>1255504*6</f>
        <v>7533024</v>
      </c>
    </row>
    <row r="154" spans="1:12" ht="60" x14ac:dyDescent="0.25">
      <c r="A154" s="8"/>
      <c r="B154" s="5"/>
      <c r="C154" s="6">
        <v>601819080</v>
      </c>
      <c r="D154" s="3" t="s">
        <v>143</v>
      </c>
      <c r="E154" s="2">
        <f>2700*6</f>
        <v>16200</v>
      </c>
      <c r="F154" s="2">
        <f>3600*6</f>
        <v>21600</v>
      </c>
      <c r="G154" s="2">
        <f t="shared" si="4"/>
        <v>1620000</v>
      </c>
      <c r="H154" s="2">
        <f t="shared" si="5"/>
        <v>2160000</v>
      </c>
      <c r="I154" s="2">
        <f>386143*6</f>
        <v>2316858</v>
      </c>
      <c r="J154" s="2">
        <f>535504*6</f>
        <v>3213024</v>
      </c>
      <c r="K154" s="2">
        <f>926143*6</f>
        <v>5556858</v>
      </c>
      <c r="L154" s="8">
        <f>1255504*6</f>
        <v>7533024</v>
      </c>
    </row>
    <row r="155" spans="1:12" ht="30" x14ac:dyDescent="0.25">
      <c r="A155" s="8"/>
      <c r="B155" s="5"/>
      <c r="C155" s="6">
        <v>601819106</v>
      </c>
      <c r="D155" s="3" t="s">
        <v>144</v>
      </c>
      <c r="E155" s="2">
        <f>2400*6</f>
        <v>14400</v>
      </c>
      <c r="F155" s="2">
        <f>3200*6</f>
        <v>19200</v>
      </c>
      <c r="G155" s="2">
        <f t="shared" si="4"/>
        <v>1440000</v>
      </c>
      <c r="H155" s="2">
        <f t="shared" si="5"/>
        <v>1920000</v>
      </c>
      <c r="I155" s="2">
        <f>356143*6</f>
        <v>2136858</v>
      </c>
      <c r="J155" s="2">
        <f>495504*6</f>
        <v>2973024</v>
      </c>
      <c r="K155" s="2">
        <f>836143*6</f>
        <v>5016858</v>
      </c>
      <c r="L155" s="8">
        <f>1135504*6</f>
        <v>6813024</v>
      </c>
    </row>
    <row r="156" spans="1:12" ht="45" x14ac:dyDescent="0.25">
      <c r="A156" s="8"/>
      <c r="B156" s="5"/>
      <c r="C156" s="6">
        <v>601819079</v>
      </c>
      <c r="D156" s="3" t="s">
        <v>145</v>
      </c>
      <c r="E156" s="2">
        <f>3000*6</f>
        <v>18000</v>
      </c>
      <c r="F156" s="2">
        <f>4000*6</f>
        <v>24000</v>
      </c>
      <c r="G156" s="2">
        <f t="shared" si="4"/>
        <v>1800000</v>
      </c>
      <c r="H156" s="2">
        <f t="shared" si="5"/>
        <v>2400000</v>
      </c>
      <c r="I156" s="2">
        <f>416143*6</f>
        <v>2496858</v>
      </c>
      <c r="J156" s="2">
        <f>575504*6</f>
        <v>3453024</v>
      </c>
      <c r="K156" s="2">
        <f>1016143*6</f>
        <v>6096858</v>
      </c>
      <c r="L156" s="8">
        <f>1375504*6</f>
        <v>8253024</v>
      </c>
    </row>
    <row r="157" spans="1:12" ht="30" x14ac:dyDescent="0.25">
      <c r="A157" s="8"/>
      <c r="B157" s="5"/>
      <c r="C157" s="6">
        <v>601819081</v>
      </c>
      <c r="D157" s="3" t="s">
        <v>146</v>
      </c>
      <c r="E157" s="2">
        <f>2400*6</f>
        <v>14400</v>
      </c>
      <c r="F157" s="2">
        <f>3200*6</f>
        <v>19200</v>
      </c>
      <c r="G157" s="2">
        <f t="shared" si="4"/>
        <v>1440000</v>
      </c>
      <c r="H157" s="2">
        <f t="shared" si="5"/>
        <v>1920000</v>
      </c>
      <c r="I157" s="2">
        <f>356143*6</f>
        <v>2136858</v>
      </c>
      <c r="J157" s="2">
        <f>495504*6</f>
        <v>2973024</v>
      </c>
      <c r="K157" s="2">
        <f>836143*6</f>
        <v>5016858</v>
      </c>
      <c r="L157" s="8">
        <f>1135504*6</f>
        <v>6813024</v>
      </c>
    </row>
    <row r="158" spans="1:12" x14ac:dyDescent="0.25">
      <c r="A158" s="8"/>
      <c r="B158" s="8"/>
      <c r="C158" s="8"/>
      <c r="D158" s="8"/>
      <c r="E158" s="2"/>
      <c r="F158" s="2"/>
      <c r="G158" s="2"/>
      <c r="H158" s="2"/>
      <c r="I158" s="2"/>
      <c r="J158" s="2"/>
      <c r="K158" s="2"/>
      <c r="L158" s="8"/>
    </row>
    <row r="159" spans="1:12" ht="76.5" x14ac:dyDescent="0.25">
      <c r="B159" s="14" t="s">
        <v>147</v>
      </c>
      <c r="C159" s="7"/>
      <c r="D159" s="11"/>
      <c r="E159" s="12"/>
      <c r="F159" s="12"/>
      <c r="G159" s="12"/>
      <c r="H159" s="12"/>
      <c r="I159" s="12"/>
      <c r="J159" s="12"/>
      <c r="K159" s="12"/>
      <c r="L159" s="9"/>
    </row>
    <row r="160" spans="1:12" ht="30" x14ac:dyDescent="0.25">
      <c r="A160" s="8"/>
      <c r="B160" s="5"/>
      <c r="C160" s="6"/>
      <c r="D160" s="15" t="s">
        <v>148</v>
      </c>
      <c r="E160" s="2">
        <f>2100*6</f>
        <v>12600</v>
      </c>
      <c r="F160" s="2">
        <f>2552*6</f>
        <v>15312</v>
      </c>
      <c r="G160" s="2">
        <f t="shared" si="4"/>
        <v>1260000</v>
      </c>
      <c r="H160" s="2">
        <f t="shared" si="5"/>
        <v>1531200</v>
      </c>
      <c r="I160" s="2">
        <f>250180*6</f>
        <v>1501080</v>
      </c>
      <c r="J160" s="2">
        <f>346980*6</f>
        <v>2081880</v>
      </c>
      <c r="K160" s="2">
        <f>460180*6</f>
        <v>2761080</v>
      </c>
      <c r="L160" s="8">
        <f>602180*6</f>
        <v>3613080</v>
      </c>
    </row>
    <row r="161" spans="1:12" ht="45" x14ac:dyDescent="0.25">
      <c r="A161" s="8"/>
      <c r="B161" s="5"/>
      <c r="C161" s="6"/>
      <c r="D161" s="15" t="s">
        <v>149</v>
      </c>
      <c r="E161" s="2">
        <f>2200*6</f>
        <v>13200</v>
      </c>
      <c r="F161" s="2">
        <f>2676*6</f>
        <v>16056</v>
      </c>
      <c r="G161" s="2">
        <f t="shared" si="4"/>
        <v>1320000</v>
      </c>
      <c r="H161" s="2">
        <f t="shared" si="5"/>
        <v>1605600</v>
      </c>
      <c r="I161" s="2">
        <f>226144*6</f>
        <v>1356864</v>
      </c>
      <c r="J161" s="2">
        <f>309304*6</f>
        <v>1855824</v>
      </c>
      <c r="K161" s="2">
        <f>446144*6</f>
        <v>2676864</v>
      </c>
      <c r="L161" s="8">
        <f>576904*6</f>
        <v>3461424</v>
      </c>
    </row>
    <row r="162" spans="1:12" ht="45" x14ac:dyDescent="0.25">
      <c r="A162" s="8"/>
      <c r="B162" s="5"/>
      <c r="C162" s="19"/>
      <c r="D162" s="15" t="s">
        <v>150</v>
      </c>
      <c r="E162" s="2">
        <f>1400*6</f>
        <v>8400</v>
      </c>
      <c r="F162" s="2">
        <f>1701*6</f>
        <v>10206</v>
      </c>
      <c r="G162" s="2">
        <f t="shared" si="4"/>
        <v>840000</v>
      </c>
      <c r="H162" s="2">
        <f t="shared" si="5"/>
        <v>1020600</v>
      </c>
      <c r="I162" s="2">
        <f>171626*6</f>
        <v>1029756</v>
      </c>
      <c r="J162" s="2">
        <f>238616*6</f>
        <v>1431696</v>
      </c>
      <c r="K162" s="2">
        <f>311626*6</f>
        <v>1869756</v>
      </c>
      <c r="L162" s="8">
        <f>408716*6</f>
        <v>2452296</v>
      </c>
    </row>
    <row r="163" spans="1:12" ht="30" x14ac:dyDescent="0.25">
      <c r="A163" s="8"/>
      <c r="B163" s="5"/>
      <c r="C163" s="6"/>
      <c r="D163" s="15" t="s">
        <v>151</v>
      </c>
      <c r="E163" s="2">
        <f>500*6</f>
        <v>3000</v>
      </c>
      <c r="F163" s="2">
        <f>608*6</f>
        <v>3648</v>
      </c>
      <c r="G163" s="2">
        <f t="shared" si="4"/>
        <v>300000</v>
      </c>
      <c r="H163" s="2">
        <f t="shared" si="5"/>
        <v>364800</v>
      </c>
      <c r="I163" s="2">
        <f>54036*6</f>
        <v>324216</v>
      </c>
      <c r="J163" s="2">
        <f>74276*6</f>
        <v>445656</v>
      </c>
      <c r="K163" s="2">
        <f>104036*6</f>
        <v>624216</v>
      </c>
      <c r="L163" s="8">
        <f>135076*6</f>
        <v>810456</v>
      </c>
    </row>
    <row r="164" spans="1:12" ht="30" x14ac:dyDescent="0.25">
      <c r="A164" s="8"/>
      <c r="B164" s="5"/>
      <c r="C164" s="6"/>
      <c r="D164" s="15" t="s">
        <v>152</v>
      </c>
      <c r="E164" s="2">
        <f>8600*6</f>
        <v>51600</v>
      </c>
      <c r="F164" s="2">
        <f>10451*6</f>
        <v>62706</v>
      </c>
      <c r="G164" s="2">
        <f t="shared" si="4"/>
        <v>5160000</v>
      </c>
      <c r="H164" s="2">
        <f t="shared" si="5"/>
        <v>6270600</v>
      </c>
      <c r="I164" s="2">
        <f>633252*6</f>
        <v>3799512</v>
      </c>
      <c r="J164" s="2">
        <f>829682*6</f>
        <v>4978092</v>
      </c>
      <c r="K164" s="2">
        <f>1493252*6</f>
        <v>8959512</v>
      </c>
      <c r="L164" s="8">
        <f>1874782*6</f>
        <v>11248692</v>
      </c>
    </row>
    <row r="165" spans="1:12" ht="30" x14ac:dyDescent="0.25">
      <c r="A165" s="8"/>
      <c r="B165" s="5"/>
      <c r="C165" s="6"/>
      <c r="D165" s="15" t="s">
        <v>153</v>
      </c>
      <c r="E165" s="2">
        <f>3700*6</f>
        <v>22200</v>
      </c>
      <c r="F165" s="2">
        <f>4498*6</f>
        <v>26988</v>
      </c>
      <c r="G165" s="2">
        <f t="shared" si="4"/>
        <v>2220000</v>
      </c>
      <c r="H165" s="2">
        <f t="shared" si="5"/>
        <v>2698800</v>
      </c>
      <c r="I165" s="2">
        <f>330180*6</f>
        <v>1981080</v>
      </c>
      <c r="J165" s="2">
        <f>444280*6</f>
        <v>2665680</v>
      </c>
      <c r="K165" s="2">
        <f>700180*6</f>
        <v>4201080</v>
      </c>
      <c r="L165" s="8">
        <f>894080*6</f>
        <v>5364480</v>
      </c>
    </row>
    <row r="166" spans="1:12" ht="45" x14ac:dyDescent="0.25">
      <c r="A166" s="8"/>
      <c r="B166" s="5"/>
      <c r="C166" s="6"/>
      <c r="D166" s="15" t="s">
        <v>154</v>
      </c>
      <c r="E166" s="2">
        <f>5600*6</f>
        <v>33600</v>
      </c>
      <c r="F166" s="2">
        <f>6808*6</f>
        <v>40848</v>
      </c>
      <c r="G166" s="2">
        <f t="shared" si="4"/>
        <v>3360000</v>
      </c>
      <c r="H166" s="2">
        <f t="shared" si="5"/>
        <v>4084800</v>
      </c>
      <c r="I166" s="2">
        <f>483252*6</f>
        <v>2899512</v>
      </c>
      <c r="J166" s="2">
        <f>647532*6</f>
        <v>3885192</v>
      </c>
      <c r="K166" s="2">
        <f>1043252*6</f>
        <v>6259512</v>
      </c>
      <c r="L166" s="8">
        <f>1328332*6</f>
        <v>7969992</v>
      </c>
    </row>
    <row r="167" spans="1:12" ht="30" x14ac:dyDescent="0.25">
      <c r="A167" s="8"/>
      <c r="B167" s="5"/>
      <c r="C167" s="6"/>
      <c r="D167" s="15" t="s">
        <v>155</v>
      </c>
      <c r="E167" s="2">
        <f>2500*6</f>
        <v>15000</v>
      </c>
      <c r="F167" s="2">
        <f>3040*6</f>
        <v>18240</v>
      </c>
      <c r="G167" s="2">
        <f t="shared" si="4"/>
        <v>1500000</v>
      </c>
      <c r="H167" s="2">
        <f t="shared" si="5"/>
        <v>1824000</v>
      </c>
      <c r="I167" s="2">
        <f>270180*6</f>
        <v>1621080</v>
      </c>
      <c r="J167" s="2">
        <f>371380*6</f>
        <v>2228280</v>
      </c>
      <c r="K167" s="2">
        <f>520180*6</f>
        <v>3121080</v>
      </c>
      <c r="L167" s="8">
        <f>675380*6</f>
        <v>4052280</v>
      </c>
    </row>
    <row r="168" spans="1:12" ht="30" x14ac:dyDescent="0.25">
      <c r="A168" s="8"/>
      <c r="B168" s="5"/>
      <c r="C168" s="6"/>
      <c r="D168" s="15" t="s">
        <v>156</v>
      </c>
      <c r="E168" s="2">
        <f>3100*6</f>
        <v>18600</v>
      </c>
      <c r="F168" s="2">
        <f>3769*6</f>
        <v>22614</v>
      </c>
      <c r="G168" s="2">
        <f t="shared" si="4"/>
        <v>1860000</v>
      </c>
      <c r="H168" s="2">
        <f t="shared" si="5"/>
        <v>2261400</v>
      </c>
      <c r="I168" s="2">
        <f>285662*6</f>
        <v>1713972</v>
      </c>
      <c r="J168" s="2">
        <f>385892*6</f>
        <v>2315352</v>
      </c>
      <c r="K168" s="2">
        <f>595662*6</f>
        <v>3573972</v>
      </c>
      <c r="L168" s="8">
        <f>762792*6</f>
        <v>4576752</v>
      </c>
    </row>
    <row r="169" spans="1:12" ht="45" x14ac:dyDescent="0.25">
      <c r="A169" s="8"/>
      <c r="B169" s="5"/>
      <c r="C169" s="6"/>
      <c r="D169" s="15" t="s">
        <v>157</v>
      </c>
      <c r="E169" s="2">
        <f>17100*6</f>
        <v>102600</v>
      </c>
      <c r="F169" s="2">
        <f>20770*6</f>
        <v>124620</v>
      </c>
      <c r="G169" s="2">
        <f t="shared" si="4"/>
        <v>10260000</v>
      </c>
      <c r="H169" s="2">
        <f t="shared" si="5"/>
        <v>12462000</v>
      </c>
      <c r="I169" s="2">
        <f>1116324*6</f>
        <v>6697944</v>
      </c>
      <c r="J169" s="2">
        <f>1433384*6</f>
        <v>8600304</v>
      </c>
      <c r="K169" s="2">
        <f>2826324*6</f>
        <v>16957944</v>
      </c>
      <c r="L169" s="8">
        <f>3510384*6</f>
        <v>21062304</v>
      </c>
    </row>
    <row r="170" spans="1:12" ht="30" x14ac:dyDescent="0.25">
      <c r="A170" s="8"/>
      <c r="B170" s="5"/>
      <c r="C170" s="6"/>
      <c r="D170" s="15" t="s">
        <v>158</v>
      </c>
      <c r="E170" s="2">
        <f>2300*6</f>
        <v>13800</v>
      </c>
      <c r="F170" s="2">
        <f>2796*6</f>
        <v>16776</v>
      </c>
      <c r="G170" s="2">
        <f t="shared" si="4"/>
        <v>1380000</v>
      </c>
      <c r="H170" s="2">
        <f t="shared" si="5"/>
        <v>1677600</v>
      </c>
      <c r="I170" s="2">
        <f>216626*6</f>
        <v>1299756</v>
      </c>
      <c r="J170" s="2">
        <f>293366*6</f>
        <v>1760196</v>
      </c>
      <c r="K170" s="2">
        <f>446626*6</f>
        <v>2679756</v>
      </c>
      <c r="L170" s="8">
        <f>572966*6</f>
        <v>3437796</v>
      </c>
    </row>
    <row r="171" spans="1:12" ht="45" x14ac:dyDescent="0.25">
      <c r="A171" s="8"/>
      <c r="B171" s="5"/>
      <c r="C171" s="6"/>
      <c r="D171" s="15" t="s">
        <v>159</v>
      </c>
      <c r="E171" s="2">
        <f>4700*6</f>
        <v>28200</v>
      </c>
      <c r="F171" s="2">
        <f>5711*6</f>
        <v>34266</v>
      </c>
      <c r="G171" s="2">
        <f t="shared" si="4"/>
        <v>2820000</v>
      </c>
      <c r="H171" s="2">
        <f t="shared" si="5"/>
        <v>3426600</v>
      </c>
      <c r="I171" s="2">
        <f>336626*6</f>
        <v>2019756</v>
      </c>
      <c r="J171" s="2">
        <f>439116*6</f>
        <v>2634696</v>
      </c>
      <c r="K171" s="2">
        <f>806626*6</f>
        <v>4839756</v>
      </c>
      <c r="L171" s="8">
        <f>1010216*6</f>
        <v>6061296</v>
      </c>
    </row>
    <row r="172" spans="1:12" ht="30" x14ac:dyDescent="0.25">
      <c r="A172" s="8"/>
      <c r="B172" s="5"/>
      <c r="C172" s="6"/>
      <c r="D172" s="15" t="s">
        <v>160</v>
      </c>
      <c r="E172" s="2">
        <f>3800*6</f>
        <v>22800</v>
      </c>
      <c r="F172" s="2">
        <f>4620*6</f>
        <v>27720</v>
      </c>
      <c r="G172" s="2">
        <f t="shared" si="4"/>
        <v>2280000</v>
      </c>
      <c r="H172" s="2">
        <f t="shared" si="5"/>
        <v>2772000</v>
      </c>
      <c r="I172" s="2">
        <f>320662*6</f>
        <v>1923972</v>
      </c>
      <c r="J172" s="2">
        <f>428442*6</f>
        <v>2570652</v>
      </c>
      <c r="K172" s="2">
        <f>700662*6</f>
        <v>4203972</v>
      </c>
      <c r="L172" s="8">
        <f>890442*6</f>
        <v>5342652</v>
      </c>
    </row>
    <row r="173" spans="1:12" ht="45" x14ac:dyDescent="0.25">
      <c r="A173" s="8"/>
      <c r="B173" s="5"/>
      <c r="C173" s="6"/>
      <c r="D173" s="15" t="s">
        <v>161</v>
      </c>
      <c r="E173" s="2">
        <f>3500*6</f>
        <v>21000</v>
      </c>
      <c r="F173" s="2">
        <f>4255*6</f>
        <v>25530</v>
      </c>
      <c r="G173" s="2">
        <f t="shared" si="4"/>
        <v>2100000</v>
      </c>
      <c r="H173" s="2">
        <f t="shared" si="5"/>
        <v>2553000</v>
      </c>
      <c r="I173" s="2">
        <f>320180*6</f>
        <v>1921080</v>
      </c>
      <c r="J173" s="2">
        <f>432130*6</f>
        <v>2592780</v>
      </c>
      <c r="K173" s="2">
        <f>670180*6</f>
        <v>4021080</v>
      </c>
      <c r="L173" s="8">
        <f>857630*6</f>
        <v>5145780</v>
      </c>
    </row>
    <row r="174" spans="1:12" ht="45" x14ac:dyDescent="0.25">
      <c r="A174" s="8"/>
      <c r="B174" s="5"/>
      <c r="C174" s="6"/>
      <c r="D174" s="15" t="s">
        <v>162</v>
      </c>
      <c r="E174" s="2">
        <f>900*6</f>
        <v>5400</v>
      </c>
      <c r="F174" s="2">
        <f>1094*6</f>
        <v>6564</v>
      </c>
      <c r="G174" s="2">
        <f t="shared" si="4"/>
        <v>540000</v>
      </c>
      <c r="H174" s="2">
        <f t="shared" si="5"/>
        <v>656400</v>
      </c>
      <c r="I174" s="2">
        <f>103072*6</f>
        <v>618432</v>
      </c>
      <c r="J174" s="2">
        <f>142452*6</f>
        <v>854712</v>
      </c>
      <c r="K174" s="2">
        <f>193072*6</f>
        <v>1158432</v>
      </c>
      <c r="L174" s="8">
        <f>251852*6</f>
        <v>1511112</v>
      </c>
    </row>
    <row r="175" spans="1:12" ht="30" x14ac:dyDescent="0.25">
      <c r="A175" s="8"/>
      <c r="B175" s="5"/>
      <c r="C175" s="6"/>
      <c r="D175" s="15" t="s">
        <v>163</v>
      </c>
      <c r="E175" s="2">
        <f>6800*6</f>
        <v>40800</v>
      </c>
      <c r="F175" s="2">
        <f>8265*6</f>
        <v>49590</v>
      </c>
      <c r="G175" s="2">
        <f t="shared" si="4"/>
        <v>4080000</v>
      </c>
      <c r="H175" s="2">
        <f t="shared" si="5"/>
        <v>4959000</v>
      </c>
      <c r="I175" s="2">
        <f>543252*6</f>
        <v>3259512</v>
      </c>
      <c r="J175" s="2">
        <f>720382*6</f>
        <v>4322292</v>
      </c>
      <c r="K175" s="2">
        <f>1223252*6</f>
        <v>7339512</v>
      </c>
      <c r="L175" s="8">
        <f>1546882*6</f>
        <v>9281292</v>
      </c>
    </row>
    <row r="176" spans="1:12" ht="30" x14ac:dyDescent="0.25">
      <c r="A176" s="8"/>
      <c r="B176" s="5"/>
      <c r="C176" s="6"/>
      <c r="D176" s="15" t="s">
        <v>164</v>
      </c>
      <c r="E176" s="2">
        <f>5800*6</f>
        <v>34800</v>
      </c>
      <c r="F176" s="2">
        <f>7052*6</f>
        <v>42312</v>
      </c>
      <c r="G176" s="2">
        <f t="shared" si="4"/>
        <v>3480000</v>
      </c>
      <c r="H176" s="2">
        <f t="shared" si="5"/>
        <v>4231200</v>
      </c>
      <c r="I176" s="2">
        <f>638432*6</f>
        <v>3830592</v>
      </c>
      <c r="J176" s="2">
        <f>879112*6</f>
        <v>5274672</v>
      </c>
      <c r="K176" s="2">
        <f>1218432*6</f>
        <v>7310592</v>
      </c>
      <c r="L176" s="8">
        <f>1584312*6</f>
        <v>9505872</v>
      </c>
    </row>
    <row r="177" spans="1:12" ht="45" x14ac:dyDescent="0.25">
      <c r="A177" s="8"/>
      <c r="B177" s="5"/>
      <c r="C177" s="6"/>
      <c r="D177" s="15" t="s">
        <v>165</v>
      </c>
      <c r="E177" s="2">
        <f>17800*6</f>
        <v>106800</v>
      </c>
      <c r="F177" s="2">
        <f>21623*6</f>
        <v>129738</v>
      </c>
      <c r="G177" s="2">
        <f t="shared" si="4"/>
        <v>10680000</v>
      </c>
      <c r="H177" s="2">
        <f t="shared" si="5"/>
        <v>12973800</v>
      </c>
      <c r="I177" s="2">
        <f>1151324*6</f>
        <v>6907944</v>
      </c>
      <c r="J177" s="2">
        <f>1476034*6</f>
        <v>8856204</v>
      </c>
      <c r="K177" s="2">
        <f>2931324*6</f>
        <v>17587944</v>
      </c>
      <c r="L177" s="8">
        <f>3638334*6</f>
        <v>21830004</v>
      </c>
    </row>
    <row r="178" spans="1:12" ht="45" x14ac:dyDescent="0.25">
      <c r="A178" s="8"/>
      <c r="B178" s="5"/>
      <c r="C178" s="6"/>
      <c r="D178" s="15" t="s">
        <v>166</v>
      </c>
      <c r="E178" s="2">
        <f>10100*6</f>
        <v>60600</v>
      </c>
      <c r="F178" s="2">
        <f>12268*6</f>
        <v>73608</v>
      </c>
      <c r="G178" s="2">
        <f t="shared" si="4"/>
        <v>6060000</v>
      </c>
      <c r="H178" s="2">
        <f t="shared" si="5"/>
        <v>7360800</v>
      </c>
      <c r="I178" s="2">
        <f>606626*6</f>
        <v>3639756</v>
      </c>
      <c r="J178" s="2">
        <f>766966*6</f>
        <v>4601796</v>
      </c>
      <c r="K178" s="2">
        <f>1616626*6</f>
        <v>9699756</v>
      </c>
      <c r="L178" s="8">
        <f>1993766*6</f>
        <v>11962596</v>
      </c>
    </row>
    <row r="179" spans="1:12" ht="45" x14ac:dyDescent="0.25">
      <c r="A179" s="8"/>
      <c r="B179" s="5"/>
      <c r="C179" s="6"/>
      <c r="D179" s="15" t="s">
        <v>167</v>
      </c>
      <c r="E179" s="2">
        <f>300*6</f>
        <v>1800</v>
      </c>
      <c r="F179" s="2">
        <f>365*6</f>
        <v>2190</v>
      </c>
      <c r="G179" s="2">
        <f t="shared" si="4"/>
        <v>180000</v>
      </c>
      <c r="H179" s="2">
        <f t="shared" si="5"/>
        <v>219000</v>
      </c>
      <c r="I179" s="2">
        <f>29518*6</f>
        <v>177108</v>
      </c>
      <c r="J179" s="2">
        <f>40188*6</f>
        <v>241128</v>
      </c>
      <c r="K179" s="2">
        <f>59518*6</f>
        <v>357108</v>
      </c>
      <c r="L179" s="8">
        <f>76688*6</f>
        <v>460128</v>
      </c>
    </row>
    <row r="180" spans="1:12" ht="45" x14ac:dyDescent="0.25">
      <c r="A180" s="8"/>
      <c r="B180" s="5"/>
      <c r="C180" s="6"/>
      <c r="D180" s="15" t="s">
        <v>168</v>
      </c>
      <c r="E180" s="2">
        <f>2000*6</f>
        <v>12000</v>
      </c>
      <c r="F180" s="2">
        <f>2431*6</f>
        <v>14586</v>
      </c>
      <c r="G180" s="2">
        <f t="shared" si="4"/>
        <v>1200000</v>
      </c>
      <c r="H180" s="2">
        <f t="shared" si="5"/>
        <v>1458600</v>
      </c>
      <c r="I180" s="2">
        <f>230662*6</f>
        <v>1383972</v>
      </c>
      <c r="J180" s="2">
        <f>318992*6</f>
        <v>1913952</v>
      </c>
      <c r="K180" s="2">
        <f>430662*6</f>
        <v>2583972</v>
      </c>
      <c r="L180" s="8">
        <f>562092*6</f>
        <v>3372552</v>
      </c>
    </row>
    <row r="181" spans="1:12" ht="45" x14ac:dyDescent="0.25">
      <c r="A181" s="8"/>
      <c r="B181" s="5"/>
      <c r="C181" s="6"/>
      <c r="D181" s="15" t="s">
        <v>169</v>
      </c>
      <c r="E181" s="2">
        <f>1300*6</f>
        <v>7800</v>
      </c>
      <c r="F181" s="2">
        <f>1580*6</f>
        <v>9480</v>
      </c>
      <c r="G181" s="2">
        <f t="shared" si="4"/>
        <v>780000</v>
      </c>
      <c r="H181" s="2">
        <f t="shared" si="5"/>
        <v>948000</v>
      </c>
      <c r="I181" s="2">
        <f>152108*6</f>
        <v>912648</v>
      </c>
      <c r="J181" s="2">
        <f>210628*6</f>
        <v>1263768</v>
      </c>
      <c r="K181" s="2">
        <f>282108*6</f>
        <v>1692648</v>
      </c>
      <c r="L181" s="8">
        <f>368628*6</f>
        <v>2211768</v>
      </c>
    </row>
  </sheetData>
  <autoFilter ref="A9:K144"/>
  <mergeCells count="15">
    <mergeCell ref="F5:M5"/>
    <mergeCell ref="A6:M6"/>
    <mergeCell ref="E7:H7"/>
    <mergeCell ref="A2:M2"/>
    <mergeCell ref="A3:E3"/>
    <mergeCell ref="F3:M3"/>
    <mergeCell ref="A4:E4"/>
    <mergeCell ref="F4:M4"/>
    <mergeCell ref="A5:E5"/>
    <mergeCell ref="B8:B9"/>
    <mergeCell ref="C8:C9"/>
    <mergeCell ref="D8:D9"/>
    <mergeCell ref="E8:H8"/>
    <mergeCell ref="I8:J8"/>
    <mergeCell ref="K8:L8"/>
  </mergeCells>
  <conditionalFormatting sqref="C6:C7 C10">
    <cfRule type="duplicateValues" dxfId="2" priority="2"/>
  </conditionalFormatting>
  <conditionalFormatting sqref="C8:C9">
    <cfRule type="duplicateValues" dxfId="1" priority="1"/>
  </conditionalFormatting>
  <pageMargins left="0.7" right="0.7" top="0.75" bottom="0.75" header="0.3" footer="0.3"/>
  <pageSetup paperSize="9" scale="55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2019-05-08T03:56:15Z</dcterms:modified>
</cp:coreProperties>
</file>